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60" windowHeight="7755" tabRatio="898" activeTab="1"/>
  </bookViews>
  <sheets>
    <sheet name="orçamento" sheetId="1" r:id="rId1"/>
    <sheet name="cronograma" sheetId="2" r:id="rId2"/>
    <sheet name="desembolso" sheetId="3" r:id="rId3"/>
  </sheets>
  <definedNames>
    <definedName name="_xlnm.Print_Area" localSheetId="1">'cronograma'!$B$3:$M$59</definedName>
    <definedName name="_xlnm.Print_Area" localSheetId="2">'desembolso'!$A$1:$M$25</definedName>
    <definedName name="_xlnm.Print_Area" localSheetId="0">'orçamento'!$A$1:$G$194</definedName>
    <definedName name="_xlnm.Print_Titles" localSheetId="1">'cronograma'!$3:$9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<sst xmlns="http://schemas.openxmlformats.org/spreadsheetml/2006/main" count="689" uniqueCount="441">
  <si>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</si>
  <si>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</si>
  <si>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</si>
  <si>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</si>
  <si>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</si>
  <si>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</si>
  <si>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</si>
  <si>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</si>
  <si>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</si>
  <si>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</si>
  <si>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</si>
  <si>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</si>
  <si>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</si>
  <si>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</si>
  <si>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</si>
  <si>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</si>
  <si>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</si>
  <si>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</si>
  <si>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</si>
  <si>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</si>
  <si>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</si>
  <si>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</si>
  <si>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</si>
  <si>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</si>
  <si>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</si>
  <si>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</si>
  <si>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</si>
  <si>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</si>
  <si>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</si>
  <si>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</si>
  <si>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</si>
  <si>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</si>
  <si>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3.5</t>
  </si>
  <si>
    <t>74.202/001</t>
  </si>
  <si>
    <t>4.1</t>
  </si>
  <si>
    <t>4.2</t>
  </si>
  <si>
    <t>ALÇAPÃO METÁLICO (0,70 x 0,70m)</t>
  </si>
  <si>
    <t>74.073/002</t>
  </si>
  <si>
    <t>unid.</t>
  </si>
  <si>
    <t>4.3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</si>
  <si>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</si>
  <si>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</si>
  <si>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</si>
  <si>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</si>
  <si>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</si>
  <si>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</si>
  <si>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</si>
  <si>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</si>
  <si>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</si>
  <si>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</si>
  <si>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</si>
  <si>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</si>
  <si>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</si>
  <si>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</si>
  <si>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</si>
  <si>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</si>
  <si>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</si>
  <si>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</si>
  <si>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</si>
  <si>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</si>
  <si>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</si>
  <si>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</si>
  <si>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</si>
  <si>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</si>
  <si>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</si>
  <si>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</si>
  <si>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</si>
  <si>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</si>
  <si>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</si>
  <si>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</si>
  <si>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</si>
  <si>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9.4</t>
  </si>
  <si>
    <t>9.5</t>
  </si>
  <si>
    <t>RODAPÉ CERÂMICO h=8 cm</t>
  </si>
  <si>
    <t>10.1</t>
  </si>
  <si>
    <t>PADRÃO DE ENTRADA</t>
  </si>
  <si>
    <t>10.1.1</t>
  </si>
  <si>
    <t>POSTE DE CONCRETO DUPLO "T" - 7,5/200</t>
  </si>
  <si>
    <t>73.783/006</t>
  </si>
  <si>
    <t>conj.</t>
  </si>
  <si>
    <t>10.1.2</t>
  </si>
  <si>
    <t>ELETRODUTO PVC RÍGIDO ROSCÁVEL 2", inclusive acessórios</t>
  </si>
  <si>
    <t>10.1.3</t>
  </si>
  <si>
    <t>ELETRODUTO PVC RÍGIDO ROSCÁVEL 1", inclusive acessórios</t>
  </si>
  <si>
    <t>10.1.4</t>
  </si>
  <si>
    <t>CAIXA DE MEDIÇÃO EXTERNA (90x120x27cm), padrão Eletropaulo</t>
  </si>
  <si>
    <t>10.1.5</t>
  </si>
  <si>
    <t>CAIXA P/ SECCIONADORA TIPO "T" (90x60x25cm), padrão Eletropaulo</t>
  </si>
  <si>
    <t>CPOS 360308</t>
  </si>
  <si>
    <t>10.1.6</t>
  </si>
  <si>
    <t>CABO DE COBRE 70,0 mm², isolamento 750 V - isolação em PVC 70°C</t>
  </si>
  <si>
    <t>10.1.7</t>
  </si>
  <si>
    <t>CABO DE COBRE NU 35,0 mm², têmpera mole, classe 2</t>
  </si>
  <si>
    <t>10.1.8</t>
  </si>
  <si>
    <t>10.1.9</t>
  </si>
  <si>
    <t>FUSÍVEL TIPO NH 1, de 36A a 250A</t>
  </si>
  <si>
    <t>10.1.10</t>
  </si>
  <si>
    <t>HASTE DE ATERRAMENTO DE 5/8´ x 2,40m, inclusive conector</t>
  </si>
  <si>
    <t>10.1.11</t>
  </si>
  <si>
    <t>CAIXA INSPEÇÃO DO TERRA, em PVC rígido, diâm. 300mm- h=250mm</t>
  </si>
  <si>
    <t>CPOS 420531</t>
  </si>
  <si>
    <t>10.1.12</t>
  </si>
  <si>
    <t>TERMINAL DE PRESSÃO/ COMPRESSÃO P/ CABO 70,0 mm²</t>
  </si>
  <si>
    <t>10.1.13</t>
  </si>
  <si>
    <t>TERMINAL DE PRESSÃO/ COMPRESSÃO P/ CABO 35,0 mm²</t>
  </si>
  <si>
    <t>10.2</t>
  </si>
  <si>
    <t>INSTALAÇÕES ELÉTRICAS - ÁREA INTERNA</t>
  </si>
  <si>
    <t>10.2.1</t>
  </si>
  <si>
    <t>CABO FLEX 1,5mm2 PT</t>
  </si>
  <si>
    <t>10.2.2</t>
  </si>
  <si>
    <t>CABO FLEX 1,5mm2 AZ</t>
  </si>
  <si>
    <t>10.2.3</t>
  </si>
  <si>
    <t>CABO FLEX 1,5mm2 VD</t>
  </si>
  <si>
    <t>10.2.4</t>
  </si>
  <si>
    <t>CABO FLEX 2,5mm2 PT</t>
  </si>
  <si>
    <t>10.2.5</t>
  </si>
  <si>
    <t>CABO FLEX 2,5mm2 AZ</t>
  </si>
  <si>
    <t>10.2.6</t>
  </si>
  <si>
    <t>CABO FLEX 2,5mm2 VD</t>
  </si>
  <si>
    <t>10.2.7</t>
  </si>
  <si>
    <t>CABO FLEX 16mm2 1 KV PT</t>
  </si>
  <si>
    <t>10.2.8</t>
  </si>
  <si>
    <t>CABO FLEX 16mm2 1 KV AZ</t>
  </si>
  <si>
    <t>10.2.9</t>
  </si>
  <si>
    <t>CABO FLEX 16mm2 VD OU VD/AM</t>
  </si>
  <si>
    <t>10.2.10</t>
  </si>
  <si>
    <t>CABO DE COBRE NU 16mm2</t>
  </si>
  <si>
    <t>10.2.11</t>
  </si>
  <si>
    <t>FIO TELEFÔNICO - USO INTERNO</t>
  </si>
  <si>
    <t>10.2.12</t>
  </si>
  <si>
    <t>FIO TELEFÔNICO - USO EXTERNO</t>
  </si>
  <si>
    <t>10.2.13</t>
  </si>
  <si>
    <t>TOMADA 2P+T 15A COM TAMPA (110 V)</t>
  </si>
  <si>
    <t>10.2.14</t>
  </si>
  <si>
    <t>10.2.15</t>
  </si>
  <si>
    <t>TOMADA TRIPOLAR</t>
  </si>
  <si>
    <t>10.2.16</t>
  </si>
  <si>
    <t>TOMADA PARA INFORMÁTICA</t>
  </si>
  <si>
    <t>10.2.17</t>
  </si>
  <si>
    <t>TOMADA TELEFÔNICA</t>
  </si>
  <si>
    <t>10.2.18</t>
  </si>
  <si>
    <t>LUMINÁRIA 2x40W FLUORESCENTE - COMPLETA</t>
  </si>
  <si>
    <t>73.953/006</t>
  </si>
  <si>
    <t>10.2.19</t>
  </si>
  <si>
    <t>10.2.20</t>
  </si>
  <si>
    <t>74.094/001</t>
  </si>
  <si>
    <t>10.2.21</t>
  </si>
  <si>
    <t>INTERRUPTOR SIMPLES - 01 TECLA</t>
  </si>
  <si>
    <t>10.2.22</t>
  </si>
  <si>
    <t>10.2.23</t>
  </si>
  <si>
    <t>10.2.24</t>
  </si>
  <si>
    <t>INTERRUPTOR SIMPLES - 03 TECLAS</t>
  </si>
  <si>
    <t>10.2.25</t>
  </si>
  <si>
    <t>QUADRO DE COMANDO TIPO CE COD. 90.11.04</t>
  </si>
  <si>
    <t>10.2.26</t>
  </si>
  <si>
    <t>74.131/006</t>
  </si>
  <si>
    <t>10.2.27</t>
  </si>
  <si>
    <t>DISJUNTOR UNIPOLAR TERMOMAGNÉTICO DIN 10A</t>
  </si>
  <si>
    <t>74.130/001</t>
  </si>
  <si>
    <t>DISJUNTOR BIPOLAR TERMOMAGNÉTICO DIN 16A</t>
  </si>
  <si>
    <t>74.130/003</t>
  </si>
  <si>
    <t>DISJUNTOR TRIPOLAR TERMOMAGNÉTICO DIN 60A</t>
  </si>
  <si>
    <t>74.130/005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</si>
  <si>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</si>
  <si>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</si>
  <si>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</si>
  <si>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</si>
  <si>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</si>
  <si>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</si>
  <si>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</si>
  <si>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</si>
  <si>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TANQUE DE ROUPAS, inclusive coluna, válvula e torneira</t>
  </si>
  <si>
    <t>6.021 - 40.729</t>
  </si>
  <si>
    <t>CHUVEIRO ELÉTRICO, inclusive acessórios</t>
  </si>
  <si>
    <t>CAIXA DE GORDURA (SAÍDA 75mm)</t>
  </si>
  <si>
    <t>CAIXA DE INSPEÇÃO 60cm</t>
  </si>
  <si>
    <t>74.104/001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</si>
  <si>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</si>
  <si>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</si>
  <si>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</si>
  <si>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</si>
  <si>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</si>
  <si>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</si>
  <si>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</si>
  <si>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</si>
  <si>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</si>
  <si>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</si>
  <si>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</si>
  <si>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</si>
  <si>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</si>
  <si>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</si>
  <si>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</si>
  <si>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</si>
  <si>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</si>
  <si>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</si>
  <si>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</si>
  <si>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</si>
  <si>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</si>
  <si>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</si>
  <si>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</si>
  <si>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</si>
  <si>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</si>
  <si>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</si>
  <si>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</si>
  <si>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</si>
  <si>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</si>
  <si>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</si>
  <si>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</si>
  <si>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</si>
  <si>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</si>
  <si>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</si>
  <si>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</si>
  <si>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</si>
  <si>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</si>
  <si>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12.1</t>
  </si>
  <si>
    <t>12.2</t>
  </si>
  <si>
    <t>7.4</t>
  </si>
  <si>
    <t>7.5</t>
  </si>
  <si>
    <t>MOLDURA DE GESSO PARA ARREMATE LAJE</t>
  </si>
  <si>
    <t>CPOS 222005</t>
  </si>
  <si>
    <t>CONSTRUÇÃO DA U.S.F. BELA VISTA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</si>
  <si>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</si>
  <si>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</si>
  <si>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</si>
  <si>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</si>
  <si>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74.051/001</t>
  </si>
  <si>
    <t>DR. MAURÍCIO DIMAS COMISSO</t>
  </si>
  <si>
    <t>73.965/010</t>
  </si>
  <si>
    <t>EMBOÇO PAULISTA (cimento, cal e areia, traço 1:2:9)</t>
  </si>
  <si>
    <t>73.907/003</t>
  </si>
  <si>
    <t>CPOS 360306</t>
  </si>
  <si>
    <t>S  00020272</t>
  </si>
  <si>
    <t>ABERTURA DE VALAS  E BLOCOS - FUND. CONTRA BARRANCO</t>
  </si>
  <si>
    <t>AÇO CA50A (BALDRAMES E BLOCOS)</t>
  </si>
  <si>
    <t>LAJE PRÉ-MOLDADA B12 (c/ escoramento,capa,armação): COMPLETA</t>
  </si>
  <si>
    <t>TELHAMENTO EM FIBROCIMENTO - TIPO ONDULADA 6mm</t>
  </si>
  <si>
    <t>8.4</t>
  </si>
  <si>
    <t>ESMALTE SINTÉTICO PARA MASSA - PAREDES</t>
  </si>
  <si>
    <t>BACIA SANITÁRIA, com válvula de descarga</t>
  </si>
  <si>
    <t>BACIA SANITÁRIA P.C.D., com válvula de descarga</t>
  </si>
  <si>
    <t xml:space="preserve">ASSENTO PLÁSTICO PARA BACIA SANITÁRIA </t>
  </si>
  <si>
    <t>ASSENTO PLÁSTICO PARA BACIA SANITÁRIA P.C.D.</t>
  </si>
  <si>
    <t>CONCRETO FCK 25 Mpa, inclusive lançamento e adensamento</t>
  </si>
  <si>
    <t>74.005/001</t>
  </si>
  <si>
    <t>COMPACTAÇÃO MECANIZADA, SEM CONTROLE</t>
  </si>
  <si>
    <t>73.910/009</t>
  </si>
  <si>
    <t>LATEX ACRÍLICO, COM FUNDO SELADOR</t>
  </si>
  <si>
    <t>CPOS 331004</t>
  </si>
  <si>
    <t>quantidades</t>
  </si>
  <si>
    <t>COBERTURA POLICARBONATO ALVEOLAR 10mm, incluso estrutura fixação</t>
  </si>
  <si>
    <t>CPOS 163212</t>
  </si>
  <si>
    <t>ESTRUTURA PONTALETADA PARA TELHA ONDULADA</t>
  </si>
  <si>
    <t>VALORES (R$)</t>
  </si>
  <si>
    <t>JARDINAGEM</t>
  </si>
  <si>
    <t>INSTALAÇÕES ESPECIAIS PARA P.C.D.</t>
  </si>
  <si>
    <t>11.2.1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</si>
  <si>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</si>
  <si>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</si>
  <si>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</si>
  <si>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</si>
  <si>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</si>
  <si>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</si>
  <si>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</si>
  <si>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</si>
  <si>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</si>
  <si>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</si>
  <si>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</si>
  <si>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</si>
  <si>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</si>
  <si>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</si>
  <si>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</si>
  <si>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</si>
  <si>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</si>
  <si>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</si>
  <si>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</si>
  <si>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CPOS 300103</t>
  </si>
  <si>
    <t>CPOS 300105</t>
  </si>
  <si>
    <t>CPOS 300113</t>
  </si>
  <si>
    <t>CPOS 300102</t>
  </si>
  <si>
    <t>5.3</t>
  </si>
  <si>
    <t>5.4</t>
  </si>
  <si>
    <t>ESQUADRIAS DE MADEIRA, ALUMÍNIO E FERRO</t>
  </si>
  <si>
    <t>ESQUADRIAS DE MADEIRA</t>
  </si>
  <si>
    <t>ESQUADRIAS DE ALUMÍNIO</t>
  </si>
  <si>
    <t>ESQUADRIAS DE FERRO</t>
  </si>
  <si>
    <t>4.1.1</t>
  </si>
  <si>
    <t>4.1.2</t>
  </si>
  <si>
    <t>4.1.3</t>
  </si>
  <si>
    <t>4.1.4</t>
  </si>
  <si>
    <t>4.1.5</t>
  </si>
  <si>
    <t>PM 01: PORTA MADEIRA LISA COMPLETA (0,80x2,10m) (A=1,68m2)</t>
  </si>
  <si>
    <t>PM 02: PORTA MADEIRA LISA COMPLETA (0,90x2,10m) (A=1,89m2)</t>
  </si>
  <si>
    <t>PM 04: PORTA MADEIRA LISA COMPLETA (1,00x2,10m) (A=2,10m2)</t>
  </si>
  <si>
    <t>PM 05: PORTA MADEIRA LISA COMPLETA (1,20x2,10m) (A=2,52m2)</t>
  </si>
  <si>
    <t>CPOS 230824</t>
  </si>
  <si>
    <t>PM 03: PORTA MADEIRA LISA COMPLETA (0,9x2,1=1,89m²) - CORRER</t>
  </si>
  <si>
    <t>CPOS 230911</t>
  </si>
  <si>
    <t>4.2.1</t>
  </si>
  <si>
    <t>PA 01: PORTA DE ALUMÍNIO VENEZIANA - ABRIR (A=2,52m²)</t>
  </si>
  <si>
    <t>4.2.2</t>
  </si>
  <si>
    <t>4.2.3</t>
  </si>
  <si>
    <t>CPOS 250111</t>
  </si>
  <si>
    <t>4.3.1</t>
  </si>
  <si>
    <t>4.3.2</t>
  </si>
  <si>
    <t>4.3.3</t>
  </si>
  <si>
    <t>4.3.4</t>
  </si>
  <si>
    <t>cpos260206/ 282060</t>
  </si>
  <si>
    <t>262022/ 262023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</si>
  <si>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</si>
  <si>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</si>
  <si>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</si>
  <si>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</si>
  <si>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</si>
  <si>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</si>
  <si>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11.2.7</t>
  </si>
  <si>
    <t>11.2.8</t>
  </si>
  <si>
    <t>11.2.9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</si>
  <si>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</si>
  <si>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</si>
  <si>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</si>
  <si>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</si>
  <si>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</si>
  <si>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</si>
  <si>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</si>
  <si>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</si>
  <si>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CPOS 480230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</si>
  <si>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</si>
  <si>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</si>
  <si>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</si>
  <si>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</si>
  <si>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</si>
  <si>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</si>
  <si>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</si>
  <si>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</si>
  <si>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TAMPO/BANCADA GRANITO POLIDO(L=60cm),c/ frontão, saia, arremates</t>
  </si>
  <si>
    <t>CPOS 440221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</si>
  <si>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</si>
  <si>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</si>
  <si>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</si>
  <si>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</si>
  <si>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</si>
  <si>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</si>
  <si>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</si>
  <si>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>ESTACA ESCAV.MECAN. (D=25cm),c/ escav,armação,concreto: COMPLETA</t>
  </si>
  <si>
    <t xml:space="preserve">ALVENARIA BLOCO CERÂMICO VEDAÇÃO-normatizado (14x19x29cm) </t>
  </si>
  <si>
    <t>73.933/001</t>
  </si>
  <si>
    <t>88485-88489</t>
  </si>
  <si>
    <t>CHAVE SECCIONADORA, tripolar, c/ prolongador, s/ porta-fusível, de 200A</t>
  </si>
  <si>
    <t>LAVATÓRIO LOUÇA COM COLUNA SUSPENSA, incluso válvula,sifão,engate</t>
  </si>
  <si>
    <t>CUBA DE AÇO INOXIDÁVEL, MÉDIA, incluso válvula, sifão e engate</t>
  </si>
  <si>
    <t>ENG° RÓBISON GOMES DA SILVA</t>
  </si>
  <si>
    <t xml:space="preserve">AUTOR DO ORÇAMENTO </t>
  </si>
  <si>
    <t>CPOS 170102</t>
  </si>
  <si>
    <t>CPOS 480208</t>
  </si>
  <si>
    <t>RESERVATÓRIO DE  FIBRA DE VIDRO- CAP. 1.500 L, C/ COLOCAÇÃO</t>
  </si>
  <si>
    <t>cpos300801-S.40729</t>
  </si>
  <si>
    <t>2.6</t>
  </si>
  <si>
    <t>AÇO CA50A (TAXA 60kg/m2)</t>
  </si>
  <si>
    <t>PA 02: PORTA DE ALUMÍNIO VENEZIANA - ABRIR (A=1,15m²) x 2conjuntos</t>
  </si>
  <si>
    <t>GA 01: GUICHÊ DE ALUMÍNIO GUILHOTINA (A= 0,60x1,00=0,60m²)</t>
  </si>
  <si>
    <t>4.3.5</t>
  </si>
  <si>
    <t>4.3.6</t>
  </si>
  <si>
    <t>4.3.7</t>
  </si>
  <si>
    <t>4.3.8</t>
  </si>
  <si>
    <t>PT-03: PORTÃO DE FERRO DE CORRER (4,00x2,00m)  x 02 conj.</t>
  </si>
  <si>
    <t>VIDROS</t>
  </si>
  <si>
    <t>VIDRO CANELADO</t>
  </si>
  <si>
    <t>PV 01:PORTA VIDRO TEMPERADO ABRIR (10mm): (1,00x2,10m=2,10m2)</t>
  </si>
  <si>
    <t>CV 01: CONJ. VIDRO TEMPERADO ABRIR/FIXO (10mm): (1,80x2,60=4,68m)</t>
  </si>
  <si>
    <t>PSF RECREIO</t>
  </si>
  <si>
    <t>CPOS 240104</t>
  </si>
  <si>
    <t>CPOS 260123</t>
  </si>
  <si>
    <t>CV 02: CONJ. VIDRO TEMPERADO CORRER/FIXO(10mm): (4,4x2,8=12,32m)</t>
  </si>
  <si>
    <t>RODAMEIO EM MADEIRA APARELHADA E ENVERNIZADA (A=7cm)</t>
  </si>
  <si>
    <t>CPOS 201004</t>
  </si>
  <si>
    <t>CPOS 442028</t>
  </si>
  <si>
    <t>PISO CIMENTADO: ENTORNO DA EDIFICAÇÃO E CALÇADA</t>
  </si>
  <si>
    <t>TOTAL GERAL (COM BDI)</t>
  </si>
  <si>
    <t>TOTAL GERAL (SEM BDI) (R$)</t>
  </si>
  <si>
    <t>BARRA RETA P/ P.C.D., EM TUBO AÇO INOXIDÁVEL 1 1/2´ x 800 mm</t>
  </si>
  <si>
    <t>BARRA PROTEÇÃO LAVAT. P.C.D., EM TUBO ALUMÍNIO C/ PINT.EPÓXI</t>
  </si>
  <si>
    <t>BARRA ]RETA P/ P.C.D., EM TUBO AÇO INOXIDÁVEL 1 1/2´ x 500 mm</t>
  </si>
  <si>
    <t>antioxidante e proteção contra raios UV - CAP. 5.000 L, ICOM COLOCAÇÃO</t>
  </si>
  <si>
    <t>RESERVATÓRIO EM POLIETILENO DE ALTA DENSIDADE - CISTERNA,</t>
  </si>
  <si>
    <t>CONSTRUÇÃO DA U.B.S. CENTRO</t>
  </si>
  <si>
    <t>INSTALAÇÕES ELÉTRICAS</t>
  </si>
  <si>
    <t>INSTALAÇÕES ELÉTRICAS - MATERIAL E M.OBRA</t>
  </si>
  <si>
    <t>INSTALAÇÕES HIDRÁULICAS - MATERIAL E M.OBRA</t>
  </si>
  <si>
    <t>PISO CIMENTADO</t>
  </si>
  <si>
    <t xml:space="preserve">           TOTAL GERAL SEM BDI(R$)</t>
  </si>
  <si>
    <t>CPOS 061104</t>
  </si>
  <si>
    <t>REATERRO APILOADO INTERNO COM COMPATAÇÃO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</si>
  <si>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</si>
  <si>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</si>
  <si>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</si>
  <si>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7.6</t>
  </si>
  <si>
    <t>CANTONEIRA ALUMÍNIO P/ ARREMATE AZULEJOS (COR BRANCA)</t>
  </si>
  <si>
    <t>73.908/002</t>
  </si>
  <si>
    <t>JA-01: JANELA BASCULANTE P/VIDRO CANELADO (1,00x0,80m) x 08 conj.</t>
  </si>
  <si>
    <t>JA-02: JANELA BASCULANTE P/VIDRO CANELADO (2,00x0,80m) x 09 conj.</t>
  </si>
  <si>
    <t>JA-03: JANELA BASCULANTE P/VIDRO CANELADO (0,45x2,00m) x 01 conj.</t>
  </si>
  <si>
    <t>JA-04: JANELA BASCULANTE P/VIDRO CANELADO (1,45x0,80m) x 02 conj.</t>
  </si>
  <si>
    <t>JA-05: JANELA BASCULANTE P/VIDRO CANELADO (0,35x2,00m) x 01 conj.</t>
  </si>
  <si>
    <t>JA-06: JANELA BASCULANTE P/VIDRO CANELADO (0,95x0,80m) x 01 conj.</t>
  </si>
  <si>
    <t>CONSTRUÇÃO DA U.B.S. PE. PEDRO TOMAZINI</t>
  </si>
  <si>
    <t xml:space="preserve">           TOTAL GERAL COM BDI (R$)</t>
  </si>
  <si>
    <t>OBRA: CONSTRUÇÃO DE UNIDADE BÁSICA DE SAÚDE - U.B.S. JARDIM BRASILIA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</si>
  <si>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JARDIM BRASILIA</t>
    </r>
  </si>
  <si>
    <r>
      <t xml:space="preserve">LOCAL: </t>
    </r>
    <r>
      <rPr>
        <sz val="10"/>
        <rFont val="Times New Roman"/>
        <family val="1"/>
      </rPr>
      <t>VILA ESPERANÇA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SANTO ANTONIO DE POSSE - SP</t>
    </r>
  </si>
  <si>
    <t>LOCAL: VILA ESPERANÇA</t>
  </si>
  <si>
    <t>CPOS 100104</t>
  </si>
  <si>
    <t>CPOS 230904</t>
  </si>
  <si>
    <t>CPOS 230905</t>
  </si>
  <si>
    <t>CPOS 250205</t>
  </si>
  <si>
    <t>CPOS 150122</t>
  </si>
  <si>
    <t>CPOS 380106</t>
  </si>
  <si>
    <t>CPOS 400502</t>
  </si>
  <si>
    <t>CPOS 400506</t>
  </si>
  <si>
    <t>CPOS 38012</t>
  </si>
  <si>
    <t>CPOS 390201</t>
  </si>
  <si>
    <t>CPOS 390216</t>
  </si>
  <si>
    <t>CPOS 390205</t>
  </si>
  <si>
    <t>TOMADA 2P+T 20A 250 V, COMPLETA (para chuveiro elétrico)</t>
  </si>
  <si>
    <r>
      <t xml:space="preserve"> </t>
    </r>
    <r>
      <rPr>
        <b/>
        <sz val="9"/>
        <rFont val="Times New Roman"/>
        <family val="1"/>
      </rPr>
      <t>CPOS 400446</t>
    </r>
  </si>
  <si>
    <t>BARRA APOIO 90° P.C.D., ]TUBO AÇO INOXIDÁVEL 1 1/2´x800x800mm</t>
  </si>
  <si>
    <t>PLANTIO DE GRAMA - ESPÉCIE "ESMERALDA" (inclusive talude)</t>
  </si>
  <si>
    <t>DATA REFERÊNCIA: TABELA SINAPI 07/2016 (desonerada) / BOLETIM CPOS 166</t>
  </si>
  <si>
    <t>CPOS 120104</t>
  </si>
  <si>
    <t>CPOS 110129</t>
  </si>
  <si>
    <t>CPOS 90102</t>
  </si>
  <si>
    <t xml:space="preserve">FORMA DE MADEIRA P/ CONCRETO ARMADO </t>
  </si>
  <si>
    <t>CPOS 160301</t>
  </si>
  <si>
    <t>REGULARIZAÇÃO COM ARGAMASSA e=2 cm</t>
  </si>
  <si>
    <t>PISO CERÂMICO (45x45cm), PEI-4, c/ cimento-cola</t>
  </si>
  <si>
    <t>CPOS 180602</t>
  </si>
  <si>
    <t>13.1</t>
  </si>
  <si>
    <t>13.2</t>
  </si>
  <si>
    <t>BDI ADOTADO= 17,7%</t>
  </si>
  <si>
    <t xml:space="preserve">          BDI 17,7% (R$)</t>
  </si>
  <si>
    <t>B.D.I.ADOTADO : 17,7%</t>
  </si>
  <si>
    <t>BDI ADOTADO: 17,7%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</si>
</sst>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  <numFmt numFmtId="185" formatCode="&quot;Ativado&quot;;&quot;Ativado&quot;;&quot;Desativado&quot;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Arial"/>
      <family val="2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54" applyFont="1" applyAlignment="1">
      <alignment/>
    </xf>
    <xf numFmtId="0" fontId="5" fillId="0" borderId="0" xfId="0" applyFont="1" applyAlignment="1">
      <alignment/>
    </xf>
    <xf numFmtId="171" fontId="4" fillId="0" borderId="10" xfId="54" applyFont="1" applyBorder="1" applyAlignment="1">
      <alignment horizontal="center" vertical="center"/>
    </xf>
    <xf numFmtId="171" fontId="4" fillId="0" borderId="0" xfId="54" applyFont="1" applyBorder="1" applyAlignment="1">
      <alignment horizontal="center" vertical="center"/>
    </xf>
    <xf numFmtId="171" fontId="4" fillId="0" borderId="11" xfId="54" applyFont="1" applyBorder="1" applyAlignment="1">
      <alignment horizontal="center" vertical="center"/>
    </xf>
    <xf numFmtId="171" fontId="6" fillId="0" borderId="0" xfId="54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54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1" fontId="2" fillId="0" borderId="15" xfId="54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1" fontId="2" fillId="0" borderId="15" xfId="54" applyFont="1" applyBorder="1" applyAlignment="1">
      <alignment/>
    </xf>
    <xf numFmtId="171" fontId="2" fillId="0" borderId="16" xfId="54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171" fontId="2" fillId="0" borderId="19" xfId="54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71" fontId="2" fillId="0" borderId="19" xfId="54" applyFont="1" applyFill="1" applyBorder="1" applyAlignment="1">
      <alignment/>
    </xf>
    <xf numFmtId="171" fontId="7" fillId="33" borderId="20" xfId="54" applyFont="1" applyFill="1" applyBorder="1" applyAlignment="1">
      <alignment/>
    </xf>
    <xf numFmtId="0" fontId="9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3" fontId="10" fillId="0" borderId="21" xfId="0" applyNumberFormat="1" applyFont="1" applyFill="1" applyBorder="1" applyAlignment="1">
      <alignment horizontal="center"/>
    </xf>
    <xf numFmtId="171" fontId="2" fillId="0" borderId="21" xfId="54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1" fontId="2" fillId="0" borderId="21" xfId="54" applyFont="1" applyBorder="1" applyAlignment="1">
      <alignment/>
    </xf>
    <xf numFmtId="171" fontId="2" fillId="0" borderId="22" xfId="54" applyFont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2" fillId="0" borderId="19" xfId="54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1" fontId="2" fillId="0" borderId="19" xfId="54" applyFont="1" applyBorder="1" applyAlignment="1">
      <alignment/>
    </xf>
    <xf numFmtId="3" fontId="10" fillId="0" borderId="21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71" fontId="2" fillId="0" borderId="15" xfId="54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1" fontId="2" fillId="0" borderId="16" xfId="54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71" fontId="2" fillId="0" borderId="15" xfId="54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12" fillId="0" borderId="19" xfId="0" applyFont="1" applyBorder="1" applyAlignment="1">
      <alignment horizontal="center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54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54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34" borderId="2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171" fontId="2" fillId="34" borderId="15" xfId="54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/>
    </xf>
    <xf numFmtId="171" fontId="2" fillId="34" borderId="15" xfId="54" applyFont="1" applyFill="1" applyBorder="1" applyAlignment="1">
      <alignment/>
    </xf>
    <xf numFmtId="171" fontId="2" fillId="34" borderId="16" xfId="54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171" fontId="7" fillId="35" borderId="26" xfId="54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171" fontId="2" fillId="35" borderId="27" xfId="54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171" fontId="2" fillId="35" borderId="29" xfId="54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171" fontId="2" fillId="34" borderId="29" xfId="54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/>
    </xf>
    <xf numFmtId="171" fontId="2" fillId="34" borderId="29" xfId="54" applyFont="1" applyFill="1" applyBorder="1" applyAlignment="1">
      <alignment/>
    </xf>
    <xf numFmtId="171" fontId="2" fillId="34" borderId="27" xfId="54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71" fontId="2" fillId="36" borderId="32" xfId="54" applyFont="1" applyFill="1" applyBorder="1" applyAlignment="1">
      <alignment/>
    </xf>
    <xf numFmtId="0" fontId="2" fillId="36" borderId="3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54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3" fillId="36" borderId="32" xfId="0" applyFont="1" applyFill="1" applyBorder="1" applyAlignment="1">
      <alignment horizontal="center"/>
    </xf>
    <xf numFmtId="171" fontId="7" fillId="36" borderId="12" xfId="54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172" fontId="8" fillId="36" borderId="34" xfId="0" applyNumberFormat="1" applyFont="1" applyFill="1" applyBorder="1" applyAlignment="1">
      <alignment/>
    </xf>
    <xf numFmtId="172" fontId="23" fillId="36" borderId="35" xfId="0" applyNumberFormat="1" applyFont="1" applyFill="1" applyBorder="1" applyAlignment="1">
      <alignment horizontal="center"/>
    </xf>
    <xf numFmtId="171" fontId="7" fillId="36" borderId="34" xfId="54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172" fontId="23" fillId="36" borderId="34" xfId="0" applyNumberFormat="1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171" fontId="4" fillId="0" borderId="34" xfId="54" applyFont="1" applyFill="1" applyBorder="1" applyAlignment="1">
      <alignment/>
    </xf>
    <xf numFmtId="0" fontId="6" fillId="0" borderId="34" xfId="0" applyNumberFormat="1" applyFont="1" applyFill="1" applyBorder="1" applyAlignment="1">
      <alignment horizontal="center"/>
    </xf>
    <xf numFmtId="39" fontId="7" fillId="36" borderId="36" xfId="0" applyNumberFormat="1" applyFont="1" applyFill="1" applyBorder="1" applyAlignment="1">
      <alignment horizontal="center" vertical="center"/>
    </xf>
    <xf numFmtId="4" fontId="23" fillId="36" borderId="34" xfId="0" applyNumberFormat="1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171" fontId="9" fillId="34" borderId="15" xfId="54" applyFont="1" applyFill="1" applyBorder="1" applyAlignment="1">
      <alignment horizontal="right"/>
    </xf>
    <xf numFmtId="171" fontId="9" fillId="34" borderId="15" xfId="54" applyFont="1" applyFill="1" applyBorder="1" applyAlignment="1">
      <alignment horizontal="center"/>
    </xf>
    <xf numFmtId="39" fontId="2" fillId="34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171" fontId="2" fillId="0" borderId="21" xfId="54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hidden="1" locked="0"/>
    </xf>
    <xf numFmtId="0" fontId="4" fillId="0" borderId="37" xfId="0" applyNumberFormat="1" applyFont="1" applyFill="1" applyBorder="1" applyAlignment="1">
      <alignment horizontal="center"/>
    </xf>
    <xf numFmtId="4" fontId="23" fillId="0" borderId="38" xfId="0" applyNumberFormat="1" applyFont="1" applyFill="1" applyBorder="1" applyAlignment="1" applyProtection="1">
      <alignment/>
      <protection hidden="1" locked="0"/>
    </xf>
    <xf numFmtId="39" fontId="23" fillId="0" borderId="14" xfId="0" applyNumberFormat="1" applyFont="1" applyFill="1" applyBorder="1" applyAlignment="1" applyProtection="1">
      <alignment/>
      <protection hidden="1" locked="0"/>
    </xf>
    <xf numFmtId="0" fontId="2" fillId="0" borderId="39" xfId="0" applyFont="1" applyBorder="1" applyAlignment="1">
      <alignment/>
    </xf>
    <xf numFmtId="4" fontId="24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7" fillId="36" borderId="31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2" xfId="54" applyFont="1" applyFill="1" applyBorder="1" applyAlignment="1">
      <alignment horizontal="center"/>
    </xf>
    <xf numFmtId="171" fontId="7" fillId="36" borderId="11" xfId="54" applyFont="1" applyFill="1" applyBorder="1" applyAlignment="1">
      <alignment horizontal="center"/>
    </xf>
    <xf numFmtId="171" fontId="7" fillId="36" borderId="32" xfId="54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54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1" fontId="4" fillId="0" borderId="35" xfId="54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171" fontId="6" fillId="0" borderId="43" xfId="54" applyFont="1" applyFill="1" applyBorder="1" applyAlignment="1">
      <alignment horizontal="center"/>
    </xf>
    <xf numFmtId="39" fontId="7" fillId="36" borderId="44" xfId="0" applyNumberFormat="1" applyFont="1" applyFill="1" applyBorder="1" applyAlignment="1">
      <alignment horizontal="center" vertical="center"/>
    </xf>
    <xf numFmtId="39" fontId="7" fillId="36" borderId="45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46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7" xfId="0" applyNumberFormat="1" applyFont="1" applyFill="1" applyBorder="1" applyAlignment="1" applyProtection="1">
      <alignment/>
      <protection hidden="1" locked="0"/>
    </xf>
    <xf numFmtId="4" fontId="6" fillId="0" borderId="48" xfId="0" applyNumberFormat="1" applyFont="1" applyBorder="1" applyAlignment="1">
      <alignment/>
    </xf>
    <xf numFmtId="4" fontId="4" fillId="0" borderId="49" xfId="0" applyNumberFormat="1" applyFont="1" applyFill="1" applyBorder="1" applyAlignment="1" applyProtection="1">
      <alignment/>
      <protection hidden="1" locked="0"/>
    </xf>
    <xf numFmtId="4" fontId="4" fillId="0" borderId="50" xfId="0" applyNumberFormat="1" applyFont="1" applyBorder="1" applyAlignment="1">
      <alignment/>
    </xf>
    <xf numFmtId="171" fontId="3" fillId="36" borderId="0" xfId="54" applyFont="1" applyFill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71" fontId="2" fillId="0" borderId="52" xfId="54" applyFont="1" applyFill="1" applyBorder="1" applyAlignment="1">
      <alignment/>
    </xf>
    <xf numFmtId="171" fontId="7" fillId="0" borderId="52" xfId="54" applyFont="1" applyFill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9" fillId="0" borderId="29" xfId="0" applyFont="1" applyBorder="1" applyAlignment="1">
      <alignment/>
    </xf>
    <xf numFmtId="171" fontId="2" fillId="0" borderId="10" xfId="54" applyFont="1" applyBorder="1" applyAlignment="1">
      <alignment horizontal="center"/>
    </xf>
    <xf numFmtId="9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171" fontId="32" fillId="0" borderId="0" xfId="54" applyFont="1" applyAlignment="1">
      <alignment/>
    </xf>
    <xf numFmtId="39" fontId="2" fillId="34" borderId="53" xfId="0" applyNumberFormat="1" applyFont="1" applyFill="1" applyBorder="1" applyAlignment="1">
      <alignment/>
    </xf>
    <xf numFmtId="39" fontId="2" fillId="34" borderId="53" xfId="0" applyNumberFormat="1" applyFont="1" applyFill="1" applyBorder="1" applyAlignment="1">
      <alignment/>
    </xf>
    <xf numFmtId="4" fontId="23" fillId="34" borderId="5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5" xfId="0" applyFont="1" applyBorder="1" applyAlignment="1">
      <alignment/>
    </xf>
    <xf numFmtId="4" fontId="34" fillId="0" borderId="0" xfId="0" applyNumberFormat="1" applyFont="1" applyFill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171" fontId="2" fillId="35" borderId="30" xfId="54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57" xfId="54" applyFont="1" applyFill="1" applyBorder="1" applyAlignment="1">
      <alignment/>
    </xf>
    <xf numFmtId="171" fontId="2" fillId="0" borderId="21" xfId="54" applyFont="1" applyFill="1" applyBorder="1" applyAlignment="1">
      <alignment/>
    </xf>
    <xf numFmtId="0" fontId="9" fillId="0" borderId="30" xfId="0" applyFont="1" applyBorder="1" applyAlignment="1">
      <alignment/>
    </xf>
    <xf numFmtId="171" fontId="2" fillId="35" borderId="29" xfId="54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21" xfId="0" applyFont="1" applyBorder="1" applyAlignment="1">
      <alignment wrapText="1"/>
    </xf>
    <xf numFmtId="9" fontId="35" fillId="0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71" fontId="2" fillId="0" borderId="22" xfId="54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171" fontId="9" fillId="0" borderId="15" xfId="54" applyFont="1" applyFill="1" applyBorder="1" applyAlignment="1">
      <alignment horizontal="right"/>
    </xf>
    <xf numFmtId="171" fontId="9" fillId="0" borderId="15" xfId="54" applyFont="1" applyFill="1" applyBorder="1" applyAlignment="1">
      <alignment horizontal="center"/>
    </xf>
    <xf numFmtId="0" fontId="2" fillId="0" borderId="15" xfId="0" applyFont="1" applyBorder="1" applyAlignment="1">
      <alignment/>
    </xf>
    <xf numFmtId="171" fontId="2" fillId="0" borderId="15" xfId="54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171" fontId="2" fillId="0" borderId="59" xfId="54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39" fontId="2" fillId="0" borderId="59" xfId="0" applyNumberFormat="1" applyFont="1" applyFill="1" applyBorder="1" applyAlignment="1">
      <alignment/>
    </xf>
    <xf numFmtId="171" fontId="2" fillId="0" borderId="53" xfId="54" applyFont="1" applyFill="1" applyBorder="1" applyAlignment="1">
      <alignment/>
    </xf>
    <xf numFmtId="171" fontId="2" fillId="0" borderId="53" xfId="54" applyFont="1" applyFill="1" applyBorder="1" applyAlignment="1">
      <alignment horizontal="right"/>
    </xf>
    <xf numFmtId="171" fontId="9" fillId="0" borderId="53" xfId="54" applyFont="1" applyFill="1" applyBorder="1" applyAlignment="1">
      <alignment horizontal="right"/>
    </xf>
    <xf numFmtId="171" fontId="9" fillId="34" borderId="53" xfId="54" applyFont="1" applyFill="1" applyBorder="1" applyAlignment="1">
      <alignment horizontal="right"/>
    </xf>
    <xf numFmtId="171" fontId="2" fillId="0" borderId="53" xfId="54" applyFont="1" applyBorder="1" applyAlignment="1">
      <alignment horizontal="right"/>
    </xf>
    <xf numFmtId="171" fontId="2" fillId="34" borderId="53" xfId="54" applyFont="1" applyFill="1" applyBorder="1" applyAlignment="1">
      <alignment horizontal="right"/>
    </xf>
    <xf numFmtId="171" fontId="2" fillId="0" borderId="60" xfId="54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39" fontId="2" fillId="0" borderId="60" xfId="0" applyNumberFormat="1" applyFont="1" applyFill="1" applyBorder="1" applyAlignment="1">
      <alignment/>
    </xf>
    <xf numFmtId="4" fontId="23" fillId="0" borderId="54" xfId="0" applyNumberFormat="1" applyFont="1" applyFill="1" applyBorder="1" applyAlignment="1">
      <alignment/>
    </xf>
    <xf numFmtId="4" fontId="23" fillId="0" borderId="50" xfId="0" applyNumberFormat="1" applyFont="1" applyFill="1" applyBorder="1" applyAlignment="1">
      <alignment/>
    </xf>
    <xf numFmtId="171" fontId="6" fillId="0" borderId="10" xfId="54" applyFont="1" applyFill="1" applyBorder="1" applyAlignment="1">
      <alignment horizontal="center"/>
    </xf>
    <xf numFmtId="39" fontId="7" fillId="36" borderId="61" xfId="0" applyNumberFormat="1" applyFont="1" applyFill="1" applyBorder="1" applyAlignment="1">
      <alignment horizontal="center" vertical="center"/>
    </xf>
    <xf numFmtId="171" fontId="2" fillId="0" borderId="23" xfId="54" applyFont="1" applyFill="1" applyBorder="1" applyAlignment="1">
      <alignment/>
    </xf>
    <xf numFmtId="39" fontId="2" fillId="0" borderId="23" xfId="0" applyNumberFormat="1" applyFont="1" applyFill="1" applyBorder="1" applyAlignment="1">
      <alignment/>
    </xf>
    <xf numFmtId="39" fontId="2" fillId="0" borderId="23" xfId="0" applyNumberFormat="1" applyFont="1" applyFill="1" applyBorder="1" applyAlignment="1">
      <alignment/>
    </xf>
    <xf numFmtId="39" fontId="2" fillId="34" borderId="23" xfId="0" applyNumberFormat="1" applyFont="1" applyFill="1" applyBorder="1" applyAlignment="1">
      <alignment/>
    </xf>
    <xf numFmtId="39" fontId="30" fillId="0" borderId="23" xfId="0" applyNumberFormat="1" applyFont="1" applyFill="1" applyBorder="1" applyAlignment="1">
      <alignment/>
    </xf>
    <xf numFmtId="39" fontId="2" fillId="34" borderId="23" xfId="0" applyNumberFormat="1" applyFont="1" applyFill="1" applyBorder="1" applyAlignment="1">
      <alignment/>
    </xf>
    <xf numFmtId="39" fontId="2" fillId="0" borderId="58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171" fontId="9" fillId="33" borderId="15" xfId="54" applyFont="1" applyFill="1" applyBorder="1" applyAlignment="1">
      <alignment horizontal="right"/>
    </xf>
    <xf numFmtId="171" fontId="9" fillId="33" borderId="15" xfId="54" applyFont="1" applyFill="1" applyBorder="1" applyAlignment="1">
      <alignment horizontal="center"/>
    </xf>
    <xf numFmtId="171" fontId="9" fillId="33" borderId="53" xfId="54" applyFont="1" applyFill="1" applyBorder="1" applyAlignment="1">
      <alignment horizontal="right"/>
    </xf>
    <xf numFmtId="39" fontId="2" fillId="33" borderId="23" xfId="0" applyNumberFormat="1" applyFont="1" applyFill="1" applyBorder="1" applyAlignment="1">
      <alignment/>
    </xf>
    <xf numFmtId="39" fontId="2" fillId="33" borderId="15" xfId="0" applyNumberFormat="1" applyFont="1" applyFill="1" applyBorder="1" applyAlignment="1">
      <alignment/>
    </xf>
    <xf numFmtId="39" fontId="2" fillId="33" borderId="53" xfId="0" applyNumberFormat="1" applyFont="1" applyFill="1" applyBorder="1" applyAlignment="1">
      <alignment/>
    </xf>
    <xf numFmtId="4" fontId="23" fillId="33" borderId="54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6" fillId="0" borderId="5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9" fontId="2" fillId="37" borderId="23" xfId="0" applyNumberFormat="1" applyFont="1" applyFill="1" applyBorder="1" applyAlignment="1">
      <alignment/>
    </xf>
    <xf numFmtId="39" fontId="2" fillId="37" borderId="23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53" xfId="0" applyNumberFormat="1" applyFont="1" applyFill="1" applyBorder="1" applyAlignment="1">
      <alignment/>
    </xf>
    <xf numFmtId="39" fontId="33" fillId="37" borderId="15" xfId="0" applyNumberFormat="1" applyFont="1" applyFill="1" applyBorder="1" applyAlignment="1">
      <alignment/>
    </xf>
    <xf numFmtId="39" fontId="30" fillId="37" borderId="15" xfId="0" applyNumberFormat="1" applyFont="1" applyFill="1" applyBorder="1" applyAlignment="1">
      <alignment/>
    </xf>
    <xf numFmtId="39" fontId="30" fillId="37" borderId="53" xfId="0" applyNumberFormat="1" applyFont="1" applyFill="1" applyBorder="1" applyAlignment="1">
      <alignment/>
    </xf>
    <xf numFmtId="39" fontId="2" fillId="37" borderId="60" xfId="0" applyNumberFormat="1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5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171" fontId="2" fillId="32" borderId="15" xfId="54" applyFont="1" applyFill="1" applyBorder="1" applyAlignment="1">
      <alignment horizontal="right"/>
    </xf>
    <xf numFmtId="0" fontId="2" fillId="32" borderId="15" xfId="0" applyFont="1" applyFill="1" applyBorder="1" applyAlignment="1">
      <alignment horizontal="center"/>
    </xf>
    <xf numFmtId="171" fontId="2" fillId="32" borderId="16" xfId="54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3" fillId="0" borderId="0" xfId="0" applyFont="1" applyAlignment="1">
      <alignment/>
    </xf>
    <xf numFmtId="4" fontId="34" fillId="9" borderId="0" xfId="0" applyNumberFormat="1" applyFont="1" applyFill="1" applyAlignment="1">
      <alignment horizontal="center"/>
    </xf>
    <xf numFmtId="4" fontId="13" fillId="9" borderId="0" xfId="0" applyNumberFormat="1" applyFont="1" applyFill="1" applyAlignment="1">
      <alignment/>
    </xf>
    <xf numFmtId="4" fontId="16" fillId="0" borderId="21" xfId="0" applyNumberFormat="1" applyFont="1" applyFill="1" applyBorder="1" applyAlignment="1">
      <alignment horizontal="center"/>
    </xf>
    <xf numFmtId="4" fontId="16" fillId="0" borderId="30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171" fontId="4" fillId="0" borderId="10" xfId="54" applyFont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171" fontId="7" fillId="0" borderId="14" xfId="54" applyFont="1" applyFill="1" applyBorder="1" applyAlignment="1">
      <alignment/>
    </xf>
    <xf numFmtId="0" fontId="7" fillId="38" borderId="17" xfId="0" applyFont="1" applyFill="1" applyBorder="1" applyAlignment="1">
      <alignment horizontal="center"/>
    </xf>
    <xf numFmtId="171" fontId="7" fillId="38" borderId="14" xfId="54" applyFont="1" applyFill="1" applyBorder="1" applyAlignment="1">
      <alignment/>
    </xf>
    <xf numFmtId="0" fontId="7" fillId="39" borderId="17" xfId="0" applyFont="1" applyFill="1" applyBorder="1" applyAlignment="1">
      <alignment horizontal="center"/>
    </xf>
    <xf numFmtId="171" fontId="7" fillId="39" borderId="14" xfId="54" applyFont="1" applyFill="1" applyBorder="1" applyAlignment="1">
      <alignment/>
    </xf>
    <xf numFmtId="0" fontId="8" fillId="38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39" borderId="62" xfId="0" applyFont="1" applyFill="1" applyBorder="1" applyAlignment="1">
      <alignment horizontal="center"/>
    </xf>
    <xf numFmtId="171" fontId="7" fillId="38" borderId="52" xfId="54" applyFont="1" applyFill="1" applyBorder="1" applyAlignment="1">
      <alignment/>
    </xf>
    <xf numFmtId="171" fontId="7" fillId="39" borderId="52" xfId="54" applyFont="1" applyFill="1" applyBorder="1" applyAlignment="1">
      <alignment/>
    </xf>
    <xf numFmtId="0" fontId="8" fillId="38" borderId="52" xfId="0" applyFont="1" applyFill="1" applyBorder="1" applyAlignment="1">
      <alignment horizontal="center"/>
    </xf>
    <xf numFmtId="0" fontId="7" fillId="38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/>
    </xf>
    <xf numFmtId="0" fontId="7" fillId="39" borderId="52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6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71" fontId="2" fillId="0" borderId="64" xfId="54" applyFont="1" applyFill="1" applyBorder="1" applyAlignment="1">
      <alignment/>
    </xf>
    <xf numFmtId="39" fontId="2" fillId="0" borderId="63" xfId="0" applyNumberFormat="1" applyFont="1" applyFill="1" applyBorder="1" applyAlignment="1">
      <alignment/>
    </xf>
    <xf numFmtId="39" fontId="2" fillId="0" borderId="21" xfId="0" applyNumberFormat="1" applyFont="1" applyFill="1" applyBorder="1" applyAlignment="1">
      <alignment/>
    </xf>
    <xf numFmtId="39" fontId="2" fillId="0" borderId="64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0" fontId="36" fillId="0" borderId="0" xfId="0" applyFont="1" applyAlignment="1">
      <alignment/>
    </xf>
    <xf numFmtId="39" fontId="2" fillId="40" borderId="15" xfId="0" applyNumberFormat="1" applyFont="1" applyFill="1" applyBorder="1" applyAlignment="1">
      <alignment/>
    </xf>
    <xf numFmtId="39" fontId="2" fillId="40" borderId="64" xfId="0" applyNumberFormat="1" applyFont="1" applyFill="1" applyBorder="1" applyAlignment="1">
      <alignment/>
    </xf>
    <xf numFmtId="39" fontId="2" fillId="40" borderId="53" xfId="0" applyNumberFormat="1" applyFont="1" applyFill="1" applyBorder="1" applyAlignment="1">
      <alignment/>
    </xf>
    <xf numFmtId="39" fontId="2" fillId="40" borderId="15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1" borderId="15" xfId="54" applyFont="1" applyFill="1" applyBorder="1" applyAlignment="1">
      <alignment/>
    </xf>
    <xf numFmtId="171" fontId="2" fillId="41" borderId="15" xfId="54" applyFont="1" applyFill="1" applyBorder="1" applyAlignment="1">
      <alignment horizontal="right"/>
    </xf>
    <xf numFmtId="171" fontId="2" fillId="0" borderId="66" xfId="54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171" fontId="2" fillId="32" borderId="15" xfId="54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15" xfId="0" applyFont="1" applyBorder="1" applyAlignment="1">
      <alignment horizontal="center"/>
    </xf>
    <xf numFmtId="0" fontId="9" fillId="0" borderId="30" xfId="0" applyFont="1" applyFill="1" applyBorder="1" applyAlignment="1">
      <alignment/>
    </xf>
    <xf numFmtId="171" fontId="7" fillId="38" borderId="20" xfId="54" applyFont="1" applyFill="1" applyBorder="1" applyAlignment="1">
      <alignment/>
    </xf>
    <xf numFmtId="0" fontId="8" fillId="41" borderId="23" xfId="0" applyFont="1" applyFill="1" applyBorder="1" applyAlignment="1">
      <alignment horizontal="center"/>
    </xf>
    <xf numFmtId="39" fontId="7" fillId="41" borderId="23" xfId="0" applyNumberFormat="1" applyFont="1" applyFill="1" applyBorder="1" applyAlignment="1">
      <alignment/>
    </xf>
    <xf numFmtId="39" fontId="7" fillId="41" borderId="15" xfId="0" applyNumberFormat="1" applyFont="1" applyFill="1" applyBorder="1" applyAlignment="1">
      <alignment/>
    </xf>
    <xf numFmtId="39" fontId="7" fillId="41" borderId="53" xfId="0" applyNumberFormat="1" applyFont="1" applyFill="1" applyBorder="1" applyAlignment="1">
      <alignment/>
    </xf>
    <xf numFmtId="4" fontId="23" fillId="41" borderId="54" xfId="0" applyNumberFormat="1" applyFont="1" applyFill="1" applyBorder="1" applyAlignment="1">
      <alignment/>
    </xf>
    <xf numFmtId="0" fontId="8" fillId="41" borderId="63" xfId="0" applyFont="1" applyFill="1" applyBorder="1" applyAlignment="1">
      <alignment horizontal="center"/>
    </xf>
    <xf numFmtId="39" fontId="7" fillId="41" borderId="63" xfId="0" applyNumberFormat="1" applyFont="1" applyFill="1" applyBorder="1" applyAlignment="1">
      <alignment/>
    </xf>
    <xf numFmtId="39" fontId="7" fillId="41" borderId="21" xfId="0" applyNumberFormat="1" applyFont="1" applyFill="1" applyBorder="1" applyAlignment="1">
      <alignment/>
    </xf>
    <xf numFmtId="39" fontId="7" fillId="41" borderId="64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1" borderId="0" xfId="0" applyFont="1" applyFill="1" applyAlignment="1">
      <alignment/>
    </xf>
    <xf numFmtId="0" fontId="9" fillId="41" borderId="15" xfId="0" applyFont="1" applyFill="1" applyBorder="1" applyAlignment="1">
      <alignment horizontal="left"/>
    </xf>
    <xf numFmtId="0" fontId="9" fillId="41" borderId="21" xfId="0" applyFont="1" applyFill="1" applyBorder="1" applyAlignment="1">
      <alignment horizontal="left"/>
    </xf>
    <xf numFmtId="171" fontId="2" fillId="41" borderId="53" xfId="54" applyFont="1" applyFill="1" applyBorder="1" applyAlignment="1">
      <alignment/>
    </xf>
    <xf numFmtId="39" fontId="2" fillId="41" borderId="53" xfId="0" applyNumberFormat="1" applyFont="1" applyFill="1" applyBorder="1" applyAlignment="1">
      <alignment/>
    </xf>
    <xf numFmtId="39" fontId="2" fillId="41" borderId="64" xfId="0" applyNumberFormat="1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171" fontId="2" fillId="32" borderId="21" xfId="54" applyFont="1" applyFill="1" applyBorder="1" applyAlignment="1">
      <alignment horizontal="right" vertical="center"/>
    </xf>
    <xf numFmtId="0" fontId="0" fillId="32" borderId="30" xfId="0" applyFill="1" applyBorder="1" applyAlignment="1">
      <alignment horizontal="right" vertical="center"/>
    </xf>
    <xf numFmtId="0" fontId="2" fillId="32" borderId="21" xfId="0" applyFont="1" applyFill="1" applyBorder="1" applyAlignment="1">
      <alignment horizontal="center" vertical="center"/>
    </xf>
    <xf numFmtId="171" fontId="2" fillId="0" borderId="21" xfId="54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171" fontId="2" fillId="32" borderId="22" xfId="54" applyFont="1" applyFill="1" applyBorder="1" applyAlignment="1">
      <alignment vertical="center"/>
    </xf>
    <xf numFmtId="0" fontId="0" fillId="32" borderId="57" xfId="0" applyFill="1" applyBorder="1" applyAlignment="1">
      <alignment vertical="center"/>
    </xf>
    <xf numFmtId="171" fontId="2" fillId="32" borderId="21" xfId="54" applyFont="1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171" fontId="2" fillId="0" borderId="22" xfId="54" applyFont="1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1" fontId="3" fillId="36" borderId="0" xfId="54" applyFont="1" applyFill="1" applyBorder="1" applyAlignment="1">
      <alignment horizontal="center"/>
    </xf>
    <xf numFmtId="171" fontId="4" fillId="0" borderId="31" xfId="54" applyFont="1" applyBorder="1" applyAlignment="1">
      <alignment horizontal="center" vertical="center"/>
    </xf>
    <xf numFmtId="171" fontId="4" fillId="0" borderId="32" xfId="54" applyFont="1" applyBorder="1" applyAlignment="1">
      <alignment horizontal="center" vertical="center"/>
    </xf>
    <xf numFmtId="171" fontId="4" fillId="0" borderId="42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171" fontId="7" fillId="0" borderId="39" xfId="54" applyFont="1" applyBorder="1" applyAlignment="1">
      <alignment horizontal="center" vertical="center"/>
    </xf>
    <xf numFmtId="171" fontId="7" fillId="0" borderId="38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9" fontId="2" fillId="0" borderId="0" xfId="0" applyNumberFormat="1" applyFont="1" applyBorder="1" applyAlignment="1">
      <alignment horizontal="left"/>
    </xf>
    <xf numFmtId="39" fontId="7" fillId="0" borderId="67" xfId="0" applyNumberFormat="1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9" xfId="0" applyFont="1" applyBorder="1" applyAlignment="1">
      <alignment wrapText="1"/>
    </xf>
    <xf numFmtId="39" fontId="7" fillId="0" borderId="40" xfId="0" applyNumberFormat="1" applyFont="1" applyBorder="1" applyAlignment="1">
      <alignment horizontal="left"/>
    </xf>
    <xf numFmtId="0" fontId="0" fillId="0" borderId="70" xfId="0" applyBorder="1" applyAlignment="1">
      <alignment/>
    </xf>
    <xf numFmtId="171" fontId="4" fillId="0" borderId="39" xfId="0" applyNumberFormat="1" applyFont="1" applyFill="1" applyBorder="1" applyAlignment="1">
      <alignment horizontal="center"/>
    </xf>
    <xf numFmtId="171" fontId="4" fillId="0" borderId="52" xfId="0" applyNumberFormat="1" applyFont="1" applyFill="1" applyBorder="1" applyAlignment="1">
      <alignment horizontal="center"/>
    </xf>
    <xf numFmtId="171" fontId="4" fillId="0" borderId="3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9" fontId="23" fillId="36" borderId="32" xfId="0" applyNumberFormat="1" applyFont="1" applyFill="1" applyBorder="1" applyAlignment="1">
      <alignment horizontal="center"/>
    </xf>
    <xf numFmtId="39" fontId="23" fillId="36" borderId="3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39" fontId="23" fillId="0" borderId="39" xfId="0" applyNumberFormat="1" applyFont="1" applyFill="1" applyBorder="1" applyAlignment="1" applyProtection="1">
      <alignment horizontal="center"/>
      <protection hidden="1" locked="0"/>
    </xf>
    <xf numFmtId="39" fontId="23" fillId="0" borderId="52" xfId="0" applyNumberFormat="1" applyFont="1" applyFill="1" applyBorder="1" applyAlignment="1" applyProtection="1">
      <alignment horizontal="center"/>
      <protection hidden="1" locked="0"/>
    </xf>
    <xf numFmtId="39" fontId="23" fillId="0" borderId="38" xfId="0" applyNumberFormat="1" applyFont="1" applyFill="1" applyBorder="1" applyAlignment="1" applyProtection="1">
      <alignment horizontal="center"/>
      <protection hidden="1" locked="0"/>
    </xf>
    <xf numFmtId="0" fontId="0" fillId="0" borderId="33" xfId="0" applyBorder="1" applyAlignment="1">
      <alignment/>
    </xf>
    <xf numFmtId="0" fontId="21" fillId="36" borderId="71" xfId="0" applyFont="1" applyFill="1" applyBorder="1" applyAlignment="1">
      <alignment horizontal="center"/>
    </xf>
    <xf numFmtId="0" fontId="21" fillId="36" borderId="72" xfId="0" applyFont="1" applyFill="1" applyBorder="1" applyAlignment="1">
      <alignment horizontal="center"/>
    </xf>
    <xf numFmtId="0" fontId="21" fillId="36" borderId="73" xfId="0" applyFont="1" applyFill="1" applyBorder="1" applyAlignment="1">
      <alignment horizontal="center"/>
    </xf>
    <xf numFmtId="39" fontId="7" fillId="0" borderId="41" xfId="0" applyNumberFormat="1" applyFont="1" applyBorder="1" applyAlignment="1">
      <alignment/>
    </xf>
    <xf numFmtId="0" fontId="22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5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78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66675</xdr:rowOff>
    </xdr:from>
    <xdr:to>
      <xdr:col>2</xdr:col>
      <xdr:colOff>333375</xdr:colOff>
      <xdr:row>4</xdr:row>
      <xdr:rowOff>200025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1"/>
  <sheetViews>
    <sheetView showGridLines="0" view="pageBreakPreview" zoomScale="85" zoomScaleNormal="85" zoomScaleSheetLayoutView="85" zoomScalePageLayoutView="0" workbookViewId="0" topLeftCell="A172">
      <selection activeCell="G186" sqref="G186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78" t="s">
        <v>0</v>
      </c>
      <c r="C3" s="378"/>
      <c r="D3" s="378"/>
      <c r="E3" s="378"/>
      <c r="F3" s="378"/>
      <c r="G3" s="2"/>
    </row>
    <row r="4" spans="1:7" ht="12.75">
      <c r="A4" s="1"/>
      <c r="B4" s="378" t="s">
        <v>1</v>
      </c>
      <c r="C4" s="378"/>
      <c r="D4" s="378"/>
      <c r="E4" s="378"/>
      <c r="F4" s="378"/>
      <c r="G4" s="2"/>
    </row>
    <row r="5" spans="1:7" ht="14.25" thickBot="1">
      <c r="A5" s="1"/>
      <c r="B5" s="174"/>
      <c r="C5" s="174"/>
      <c r="D5" s="174"/>
      <c r="E5" s="174"/>
      <c r="F5" s="174"/>
      <c r="G5" s="189"/>
    </row>
    <row r="6" spans="1:8" ht="16.5" thickTop="1">
      <c r="A6" s="379" t="s">
        <v>2</v>
      </c>
      <c r="B6" s="380"/>
      <c r="C6" s="380"/>
      <c r="D6" s="380"/>
      <c r="E6" s="380"/>
      <c r="F6" s="380"/>
      <c r="G6" s="381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82" t="s">
        <v>406</v>
      </c>
      <c r="B8" s="383"/>
      <c r="C8" s="383"/>
      <c r="D8" s="383"/>
      <c r="E8" s="383"/>
      <c r="F8" s="384"/>
      <c r="G8" s="385"/>
      <c r="H8" s="3"/>
    </row>
    <row r="9" spans="1:8" ht="15.75">
      <c r="A9" s="392" t="s">
        <v>409</v>
      </c>
      <c r="B9" s="393"/>
      <c r="C9" s="393"/>
      <c r="D9" s="393"/>
      <c r="E9" s="384"/>
      <c r="F9" s="384"/>
      <c r="G9" s="6"/>
      <c r="H9" s="3"/>
    </row>
    <row r="10" spans="1:8" ht="13.5" customHeight="1">
      <c r="A10" s="382" t="s">
        <v>426</v>
      </c>
      <c r="B10" s="383"/>
      <c r="C10" s="383"/>
      <c r="D10" s="383"/>
      <c r="E10" s="384"/>
      <c r="F10" s="384"/>
      <c r="G10" s="6"/>
      <c r="H10" s="3"/>
    </row>
    <row r="11" spans="1:8" ht="13.5" customHeight="1" thickBot="1">
      <c r="A11" s="300" t="s">
        <v>439</v>
      </c>
      <c r="B11" s="7"/>
      <c r="C11" s="7"/>
      <c r="D11" s="5"/>
      <c r="E11" s="5"/>
      <c r="F11" s="5"/>
      <c r="G11" s="6"/>
      <c r="H11" s="135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90" t="s">
        <v>252</v>
      </c>
      <c r="G12" s="391"/>
      <c r="H12" s="135"/>
    </row>
    <row r="13" spans="1:8" ht="14.25" thickBot="1" thickTop="1">
      <c r="A13" s="9"/>
      <c r="B13" s="10"/>
      <c r="C13" s="9" t="s">
        <v>326</v>
      </c>
      <c r="D13" s="9"/>
      <c r="E13" s="9"/>
      <c r="F13" s="11" t="s">
        <v>8</v>
      </c>
      <c r="G13" s="11" t="s">
        <v>9</v>
      </c>
      <c r="H13" s="135"/>
    </row>
    <row r="14" spans="1:8" ht="19.5" customHeight="1" thickTop="1">
      <c r="A14" s="70"/>
      <c r="B14" s="71" t="s">
        <v>220</v>
      </c>
      <c r="C14" s="71"/>
      <c r="D14" s="72"/>
      <c r="E14" s="73"/>
      <c r="F14" s="72"/>
      <c r="G14" s="74"/>
      <c r="H14" s="135"/>
    </row>
    <row r="15" spans="1:8" ht="15" customHeight="1">
      <c r="A15" s="64">
        <v>1</v>
      </c>
      <c r="B15" s="65" t="s">
        <v>10</v>
      </c>
      <c r="C15" s="65"/>
      <c r="D15" s="66"/>
      <c r="E15" s="67"/>
      <c r="F15" s="68"/>
      <c r="G15" s="69"/>
      <c r="H15" s="135"/>
    </row>
    <row r="16" spans="1:8" ht="12.75" customHeight="1">
      <c r="A16" s="339" t="s">
        <v>11</v>
      </c>
      <c r="B16" s="17" t="s">
        <v>203</v>
      </c>
      <c r="C16" s="12" t="s">
        <v>201</v>
      </c>
      <c r="D16" s="13">
        <v>636.4</v>
      </c>
      <c r="E16" s="14" t="s">
        <v>12</v>
      </c>
      <c r="F16" s="15">
        <v>0.49</v>
      </c>
      <c r="G16" s="16">
        <f>D16*F16</f>
        <v>311.83599999999996</v>
      </c>
      <c r="H16" s="135"/>
    </row>
    <row r="17" spans="1:8" ht="12.75" customHeight="1">
      <c r="A17" s="339" t="s">
        <v>13</v>
      </c>
      <c r="B17" s="17" t="s">
        <v>336</v>
      </c>
      <c r="C17" s="12" t="s">
        <v>205</v>
      </c>
      <c r="D17" s="13">
        <v>445.48</v>
      </c>
      <c r="E17" s="14" t="s">
        <v>17</v>
      </c>
      <c r="F17" s="15">
        <v>4.55</v>
      </c>
      <c r="G17" s="16">
        <f>D17*F17</f>
        <v>2026.934</v>
      </c>
      <c r="H17" s="135"/>
    </row>
    <row r="18" spans="1:8" ht="12.75" customHeight="1">
      <c r="A18" s="339" t="s">
        <v>14</v>
      </c>
      <c r="B18" s="17" t="s">
        <v>206</v>
      </c>
      <c r="C18" s="12" t="s">
        <v>207</v>
      </c>
      <c r="D18" s="13">
        <v>445.48</v>
      </c>
      <c r="E18" s="14" t="s">
        <v>17</v>
      </c>
      <c r="F18" s="15">
        <v>2.08</v>
      </c>
      <c r="G18" s="16">
        <f>D18*F18</f>
        <v>926.5984000000001</v>
      </c>
      <c r="H18" s="135"/>
    </row>
    <row r="19" spans="1:8" ht="12.75" customHeight="1">
      <c r="A19" s="339" t="s">
        <v>16</v>
      </c>
      <c r="B19" s="17" t="s">
        <v>244</v>
      </c>
      <c r="C19" s="12" t="s">
        <v>243</v>
      </c>
      <c r="D19" s="13">
        <v>445.48</v>
      </c>
      <c r="E19" s="14" t="s">
        <v>17</v>
      </c>
      <c r="F19" s="15">
        <v>4.28</v>
      </c>
      <c r="G19" s="16">
        <f>D19*F19</f>
        <v>1906.6544000000001</v>
      </c>
      <c r="H19" s="135"/>
    </row>
    <row r="20" spans="1:8" ht="12.75" customHeight="1" thickBot="1">
      <c r="A20" s="339" t="s">
        <v>204</v>
      </c>
      <c r="B20" s="17" t="s">
        <v>15</v>
      </c>
      <c r="C20" s="12" t="s">
        <v>202</v>
      </c>
      <c r="D20" s="13">
        <v>305.4</v>
      </c>
      <c r="E20" s="14" t="s">
        <v>12</v>
      </c>
      <c r="F20" s="15">
        <v>4.38</v>
      </c>
      <c r="G20" s="16">
        <f>D20*F20</f>
        <v>1337.6519999999998</v>
      </c>
      <c r="H20" s="136"/>
    </row>
    <row r="21" spans="1:8" ht="15" customHeight="1" thickBot="1" thickTop="1">
      <c r="A21" s="18"/>
      <c r="B21" s="19" t="s">
        <v>191</v>
      </c>
      <c r="C21" s="20"/>
      <c r="D21" s="21"/>
      <c r="E21" s="22"/>
      <c r="F21" s="23"/>
      <c r="G21" s="24">
        <f>SUM(G16:G20)</f>
        <v>6509.674800000001</v>
      </c>
      <c r="H21" s="135"/>
    </row>
    <row r="22" spans="1:8" ht="15" customHeight="1" thickTop="1">
      <c r="A22" s="80">
        <v>2</v>
      </c>
      <c r="B22" s="81" t="s">
        <v>18</v>
      </c>
      <c r="C22" s="82"/>
      <c r="D22" s="83"/>
      <c r="E22" s="84"/>
      <c r="F22" s="85"/>
      <c r="G22" s="86"/>
      <c r="H22" s="135"/>
    </row>
    <row r="23" spans="1:8" ht="12.75" customHeight="1">
      <c r="A23" s="339" t="s">
        <v>19</v>
      </c>
      <c r="B23" s="25" t="s">
        <v>343</v>
      </c>
      <c r="C23" s="342" t="s">
        <v>427</v>
      </c>
      <c r="D23" s="13">
        <v>426</v>
      </c>
      <c r="E23" s="14" t="s">
        <v>20</v>
      </c>
      <c r="F23" s="341">
        <v>49.71</v>
      </c>
      <c r="G23" s="16">
        <f aca="true" t="shared" si="0" ref="G23:G28">D23*F23</f>
        <v>21176.46</v>
      </c>
      <c r="H23" s="135"/>
    </row>
    <row r="24" spans="1:8" ht="12.75" customHeight="1">
      <c r="A24" s="339" t="s">
        <v>21</v>
      </c>
      <c r="B24" s="25" t="s">
        <v>232</v>
      </c>
      <c r="C24" s="27" t="s">
        <v>227</v>
      </c>
      <c r="D24" s="13">
        <v>3.24</v>
      </c>
      <c r="E24" s="14" t="s">
        <v>17</v>
      </c>
      <c r="F24" s="44">
        <v>49.85</v>
      </c>
      <c r="G24" s="16">
        <f t="shared" si="0"/>
        <v>161.514</v>
      </c>
      <c r="H24" s="137"/>
    </row>
    <row r="25" spans="1:8" ht="12.75" customHeight="1">
      <c r="A25" s="339" t="s">
        <v>22</v>
      </c>
      <c r="B25" s="25" t="s">
        <v>233</v>
      </c>
      <c r="C25" s="334" t="s">
        <v>410</v>
      </c>
      <c r="D25" s="13">
        <v>1228.2</v>
      </c>
      <c r="E25" s="14" t="s">
        <v>23</v>
      </c>
      <c r="F25" s="15">
        <v>5.36</v>
      </c>
      <c r="G25" s="16">
        <f t="shared" si="0"/>
        <v>6583.152000000001</v>
      </c>
      <c r="H25" s="188"/>
    </row>
    <row r="26" spans="1:8" ht="12.75" customHeight="1">
      <c r="A26" s="339" t="s">
        <v>24</v>
      </c>
      <c r="B26" s="25" t="s">
        <v>242</v>
      </c>
      <c r="C26" s="342" t="s">
        <v>428</v>
      </c>
      <c r="D26" s="13">
        <v>21.82</v>
      </c>
      <c r="E26" s="14" t="s">
        <v>17</v>
      </c>
      <c r="F26" s="341">
        <v>308.7</v>
      </c>
      <c r="G26" s="16">
        <f t="shared" si="0"/>
        <v>6735.834</v>
      </c>
      <c r="H26" s="138"/>
    </row>
    <row r="27" spans="1:8" ht="12.75" customHeight="1">
      <c r="A27" s="339" t="s">
        <v>25</v>
      </c>
      <c r="B27" s="28" t="s">
        <v>26</v>
      </c>
      <c r="C27" s="29">
        <v>5968</v>
      </c>
      <c r="D27" s="30">
        <v>182.88</v>
      </c>
      <c r="E27" s="31" t="s">
        <v>12</v>
      </c>
      <c r="F27" s="32">
        <v>33.55</v>
      </c>
      <c r="G27" s="16">
        <f t="shared" si="0"/>
        <v>6135.623999999999</v>
      </c>
      <c r="H27" s="136"/>
    </row>
    <row r="28" spans="1:8" ht="12.75" customHeight="1" thickBot="1">
      <c r="A28" s="339" t="s">
        <v>356</v>
      </c>
      <c r="B28" s="28" t="s">
        <v>391</v>
      </c>
      <c r="C28" s="280" t="s">
        <v>390</v>
      </c>
      <c r="D28" s="30">
        <f>D20*0.3</f>
        <v>91.61999999999999</v>
      </c>
      <c r="E28" s="31" t="s">
        <v>17</v>
      </c>
      <c r="F28" s="32">
        <v>12.22</v>
      </c>
      <c r="G28" s="16">
        <f t="shared" si="0"/>
        <v>1119.5964</v>
      </c>
      <c r="H28" s="136"/>
    </row>
    <row r="29" spans="1:8" ht="15" customHeight="1" thickBot="1" thickTop="1">
      <c r="A29" s="18"/>
      <c r="B29" s="19" t="s">
        <v>191</v>
      </c>
      <c r="C29" s="34"/>
      <c r="D29" s="21"/>
      <c r="E29" s="22"/>
      <c r="F29" s="23"/>
      <c r="G29" s="24">
        <f>SUM(G23:G28)</f>
        <v>41912.1804</v>
      </c>
      <c r="H29" s="135"/>
    </row>
    <row r="30" spans="1:8" ht="15" customHeight="1" thickTop="1">
      <c r="A30" s="80">
        <v>3</v>
      </c>
      <c r="B30" s="81" t="s">
        <v>27</v>
      </c>
      <c r="C30" s="82"/>
      <c r="D30" s="83"/>
      <c r="E30" s="84"/>
      <c r="F30" s="85"/>
      <c r="G30" s="86"/>
      <c r="H30" s="135"/>
    </row>
    <row r="31" spans="1:8" ht="12.75" customHeight="1">
      <c r="A31" s="339" t="s">
        <v>28</v>
      </c>
      <c r="B31" s="25" t="s">
        <v>344</v>
      </c>
      <c r="C31" s="27">
        <v>87491</v>
      </c>
      <c r="D31" s="13">
        <v>759.01</v>
      </c>
      <c r="E31" s="14" t="s">
        <v>12</v>
      </c>
      <c r="F31" s="44">
        <v>46.05</v>
      </c>
      <c r="G31" s="16">
        <f>D31*F31</f>
        <v>34952.4105</v>
      </c>
      <c r="H31" s="136"/>
    </row>
    <row r="32" spans="1:8" ht="12.75" customHeight="1">
      <c r="A32" s="339" t="s">
        <v>29</v>
      </c>
      <c r="B32" s="25" t="s">
        <v>357</v>
      </c>
      <c r="C32" s="334" t="s">
        <v>410</v>
      </c>
      <c r="D32" s="13">
        <v>1100.4</v>
      </c>
      <c r="E32" s="14" t="s">
        <v>23</v>
      </c>
      <c r="F32" s="15">
        <v>5.36</v>
      </c>
      <c r="G32" s="16">
        <f>D32*F32</f>
        <v>5898.144000000001</v>
      </c>
      <c r="H32" s="188"/>
    </row>
    <row r="33" spans="1:8" ht="12.75" customHeight="1">
      <c r="A33" s="339" t="s">
        <v>30</v>
      </c>
      <c r="B33" s="25" t="s">
        <v>242</v>
      </c>
      <c r="C33" s="342" t="s">
        <v>428</v>
      </c>
      <c r="D33" s="13">
        <v>18.34</v>
      </c>
      <c r="E33" s="14" t="s">
        <v>17</v>
      </c>
      <c r="F33" s="341">
        <v>308.7</v>
      </c>
      <c r="G33" s="16">
        <f>D33*F33</f>
        <v>5661.558</v>
      </c>
      <c r="H33" s="138"/>
    </row>
    <row r="34" spans="1:8" ht="12.75" customHeight="1">
      <c r="A34" s="339" t="s">
        <v>31</v>
      </c>
      <c r="B34" s="25" t="s">
        <v>430</v>
      </c>
      <c r="C34" s="343" t="s">
        <v>429</v>
      </c>
      <c r="D34" s="13">
        <v>47.63</v>
      </c>
      <c r="E34" s="14" t="s">
        <v>12</v>
      </c>
      <c r="F34" s="15">
        <v>55</v>
      </c>
      <c r="G34" s="16">
        <f>D34*F34</f>
        <v>2619.65</v>
      </c>
      <c r="H34" s="133"/>
    </row>
    <row r="35" spans="1:8" ht="12.75" customHeight="1" thickBot="1">
      <c r="A35" s="339" t="s">
        <v>32</v>
      </c>
      <c r="B35" s="25" t="s">
        <v>234</v>
      </c>
      <c r="C35" s="26" t="s">
        <v>33</v>
      </c>
      <c r="D35" s="13">
        <v>281.26</v>
      </c>
      <c r="E35" s="14" t="s">
        <v>12</v>
      </c>
      <c r="F35" s="15">
        <v>57.91</v>
      </c>
      <c r="G35" s="16">
        <f>D35*F35</f>
        <v>16287.766599999999</v>
      </c>
      <c r="H35" s="136"/>
    </row>
    <row r="36" spans="1:8" ht="15" customHeight="1" thickBot="1" thickTop="1">
      <c r="A36" s="35"/>
      <c r="B36" s="36" t="s">
        <v>191</v>
      </c>
      <c r="C36" s="37"/>
      <c r="D36" s="38"/>
      <c r="E36" s="39"/>
      <c r="F36" s="40"/>
      <c r="G36" s="24">
        <f>SUM(G31:G35)</f>
        <v>65419.5291</v>
      </c>
      <c r="H36" s="135"/>
    </row>
    <row r="37" spans="1:8" ht="15" customHeight="1" thickTop="1">
      <c r="A37" s="75">
        <v>4</v>
      </c>
      <c r="B37" s="76" t="s">
        <v>281</v>
      </c>
      <c r="C37" s="77"/>
      <c r="D37" s="205"/>
      <c r="E37" s="78"/>
      <c r="F37" s="79"/>
      <c r="G37" s="74"/>
      <c r="H37" s="135"/>
    </row>
    <row r="38" spans="1:8" ht="15" customHeight="1">
      <c r="A38" s="64" t="s">
        <v>34</v>
      </c>
      <c r="B38" s="65" t="s">
        <v>282</v>
      </c>
      <c r="C38" s="87"/>
      <c r="D38" s="68"/>
      <c r="E38" s="67"/>
      <c r="F38" s="68"/>
      <c r="G38" s="69"/>
      <c r="H38" s="135"/>
    </row>
    <row r="39" spans="1:8" ht="12.75" customHeight="1">
      <c r="A39" s="339" t="s">
        <v>285</v>
      </c>
      <c r="B39" s="28" t="s">
        <v>290</v>
      </c>
      <c r="C39" s="335" t="s">
        <v>411</v>
      </c>
      <c r="D39" s="30">
        <v>8</v>
      </c>
      <c r="E39" s="31" t="s">
        <v>79</v>
      </c>
      <c r="F39" s="32">
        <v>328.87</v>
      </c>
      <c r="G39" s="33">
        <f>D39*F39</f>
        <v>2630.96</v>
      </c>
      <c r="H39" s="136"/>
    </row>
    <row r="40" spans="1:8" ht="12.75" customHeight="1">
      <c r="A40" s="339" t="s">
        <v>286</v>
      </c>
      <c r="B40" s="28" t="s">
        <v>291</v>
      </c>
      <c r="C40" s="335" t="s">
        <v>412</v>
      </c>
      <c r="D40" s="30">
        <v>15</v>
      </c>
      <c r="E40" s="31" t="s">
        <v>79</v>
      </c>
      <c r="F40" s="32">
        <v>343.52</v>
      </c>
      <c r="G40" s="33">
        <f>D40*F40</f>
        <v>5152.799999999999</v>
      </c>
      <c r="H40" s="136"/>
    </row>
    <row r="41" spans="1:9" ht="12.75" customHeight="1">
      <c r="A41" s="339" t="s">
        <v>287</v>
      </c>
      <c r="B41" s="28" t="s">
        <v>295</v>
      </c>
      <c r="C41" s="280" t="s">
        <v>294</v>
      </c>
      <c r="D41" s="30">
        <v>1</v>
      </c>
      <c r="E41" s="31" t="s">
        <v>12</v>
      </c>
      <c r="F41" s="203">
        <v>596.32</v>
      </c>
      <c r="G41" s="33">
        <f>D41*F41</f>
        <v>596.32</v>
      </c>
      <c r="H41" s="278"/>
      <c r="I41" s="279"/>
    </row>
    <row r="42" spans="1:9" ht="12.75" customHeight="1">
      <c r="A42" s="339" t="s">
        <v>288</v>
      </c>
      <c r="B42" s="28" t="s">
        <v>292</v>
      </c>
      <c r="C42" s="280" t="s">
        <v>296</v>
      </c>
      <c r="D42" s="30">
        <v>1</v>
      </c>
      <c r="E42" s="31" t="s">
        <v>12</v>
      </c>
      <c r="F42" s="203">
        <v>435.71</v>
      </c>
      <c r="G42" s="33">
        <f>D42*F42</f>
        <v>435.71</v>
      </c>
      <c r="H42" s="278"/>
      <c r="I42" s="279"/>
    </row>
    <row r="43" spans="1:8" ht="12.75" customHeight="1">
      <c r="A43" s="339" t="s">
        <v>289</v>
      </c>
      <c r="B43" s="28" t="s">
        <v>293</v>
      </c>
      <c r="C43" s="41" t="s">
        <v>245</v>
      </c>
      <c r="D43" s="30">
        <v>1</v>
      </c>
      <c r="E43" s="31" t="s">
        <v>38</v>
      </c>
      <c r="F43" s="32">
        <v>602.05</v>
      </c>
      <c r="G43" s="33">
        <f>D43*F43</f>
        <v>602.05</v>
      </c>
      <c r="H43" s="186"/>
    </row>
    <row r="44" spans="1:8" ht="15" customHeight="1">
      <c r="A44" s="64" t="s">
        <v>35</v>
      </c>
      <c r="B44" s="65" t="s">
        <v>283</v>
      </c>
      <c r="C44" s="87"/>
      <c r="D44" s="68"/>
      <c r="E44" s="67"/>
      <c r="F44" s="68"/>
      <c r="G44" s="69"/>
      <c r="H44" s="186"/>
    </row>
    <row r="45" spans="1:9" ht="12.75" customHeight="1">
      <c r="A45" s="339" t="s">
        <v>297</v>
      </c>
      <c r="B45" s="25" t="s">
        <v>298</v>
      </c>
      <c r="C45" s="41">
        <v>91341</v>
      </c>
      <c r="D45" s="48">
        <v>2.52</v>
      </c>
      <c r="E45" s="14" t="s">
        <v>12</v>
      </c>
      <c r="F45" s="15">
        <v>701</v>
      </c>
      <c r="G45" s="16">
        <f>D45*F45</f>
        <v>1766.52</v>
      </c>
      <c r="H45" s="278"/>
      <c r="I45" s="279"/>
    </row>
    <row r="46" spans="1:9" ht="12.75" customHeight="1">
      <c r="A46" s="339" t="s">
        <v>299</v>
      </c>
      <c r="B46" s="25" t="s">
        <v>358</v>
      </c>
      <c r="C46" s="335" t="s">
        <v>413</v>
      </c>
      <c r="D46" s="48">
        <v>2.3</v>
      </c>
      <c r="E46" s="14" t="s">
        <v>12</v>
      </c>
      <c r="F46" s="15">
        <v>681.62</v>
      </c>
      <c r="G46" s="16">
        <f>D46*F46</f>
        <v>1567.7259999999999</v>
      </c>
      <c r="H46" s="278"/>
      <c r="I46" s="279"/>
    </row>
    <row r="47" spans="1:9" ht="12.75" customHeight="1">
      <c r="A47" s="339" t="s">
        <v>300</v>
      </c>
      <c r="B47" s="25" t="s">
        <v>359</v>
      </c>
      <c r="C47" s="280" t="s">
        <v>301</v>
      </c>
      <c r="D47" s="13">
        <v>0.6</v>
      </c>
      <c r="E47" s="14" t="s">
        <v>12</v>
      </c>
      <c r="F47" s="44">
        <v>508.23</v>
      </c>
      <c r="G47" s="16">
        <f>D47*F47</f>
        <v>304.938</v>
      </c>
      <c r="H47" s="278"/>
      <c r="I47" s="279"/>
    </row>
    <row r="48" spans="1:8" ht="15" customHeight="1">
      <c r="A48" s="64" t="s">
        <v>39</v>
      </c>
      <c r="B48" s="65" t="s">
        <v>284</v>
      </c>
      <c r="C48" s="87"/>
      <c r="D48" s="68"/>
      <c r="E48" s="67"/>
      <c r="F48" s="68"/>
      <c r="G48" s="69"/>
      <c r="H48" s="186"/>
    </row>
    <row r="49" spans="1:8" ht="12.75" customHeight="1">
      <c r="A49" s="339" t="s">
        <v>302</v>
      </c>
      <c r="B49" s="25" t="s">
        <v>36</v>
      </c>
      <c r="C49" s="27" t="s">
        <v>37</v>
      </c>
      <c r="D49" s="13">
        <v>3</v>
      </c>
      <c r="E49" s="14" t="s">
        <v>38</v>
      </c>
      <c r="F49" s="15">
        <v>91.14</v>
      </c>
      <c r="G49" s="16">
        <f aca="true" t="shared" si="1" ref="G49:G56">D49*F49</f>
        <v>273.42</v>
      </c>
      <c r="H49" s="186"/>
    </row>
    <row r="50" spans="1:8" ht="12.75" customHeight="1">
      <c r="A50" s="339" t="s">
        <v>303</v>
      </c>
      <c r="B50" s="25" t="s">
        <v>398</v>
      </c>
      <c r="C50" s="280" t="s">
        <v>370</v>
      </c>
      <c r="D50" s="13">
        <f>0.8*8</f>
        <v>6.4</v>
      </c>
      <c r="E50" s="14" t="s">
        <v>12</v>
      </c>
      <c r="F50" s="15">
        <v>288.48</v>
      </c>
      <c r="G50" s="16">
        <f t="shared" si="1"/>
        <v>1846.2720000000002</v>
      </c>
      <c r="H50" s="186"/>
    </row>
    <row r="51" spans="1:8" ht="12.75" customHeight="1">
      <c r="A51" s="339" t="s">
        <v>304</v>
      </c>
      <c r="B51" s="25" t="s">
        <v>399</v>
      </c>
      <c r="C51" s="280" t="s">
        <v>370</v>
      </c>
      <c r="D51" s="13">
        <v>16</v>
      </c>
      <c r="E51" s="14" t="s">
        <v>12</v>
      </c>
      <c r="F51" s="15">
        <v>288.48</v>
      </c>
      <c r="G51" s="16">
        <f t="shared" si="1"/>
        <v>4615.68</v>
      </c>
      <c r="H51" s="186"/>
    </row>
    <row r="52" spans="1:8" ht="12.75" customHeight="1">
      <c r="A52" s="339" t="s">
        <v>305</v>
      </c>
      <c r="B52" s="25" t="s">
        <v>400</v>
      </c>
      <c r="C52" s="280" t="s">
        <v>370</v>
      </c>
      <c r="D52" s="13">
        <f>0.9*1</f>
        <v>0.9</v>
      </c>
      <c r="E52" s="14" t="s">
        <v>12</v>
      </c>
      <c r="F52" s="15">
        <v>288.48</v>
      </c>
      <c r="G52" s="16">
        <f t="shared" si="1"/>
        <v>259.632</v>
      </c>
      <c r="H52" s="186"/>
    </row>
    <row r="53" spans="1:8" ht="12.75" customHeight="1">
      <c r="A53" s="339" t="s">
        <v>360</v>
      </c>
      <c r="B53" s="25" t="s">
        <v>401</v>
      </c>
      <c r="C53" s="280" t="s">
        <v>370</v>
      </c>
      <c r="D53" s="13">
        <f>1.16*2</f>
        <v>2.32</v>
      </c>
      <c r="E53" s="14" t="s">
        <v>12</v>
      </c>
      <c r="F53" s="15">
        <v>288.48</v>
      </c>
      <c r="G53" s="16">
        <f t="shared" si="1"/>
        <v>669.2736</v>
      </c>
      <c r="H53" s="186"/>
    </row>
    <row r="54" spans="1:8" ht="12.75" customHeight="1">
      <c r="A54" s="339" t="s">
        <v>361</v>
      </c>
      <c r="B54" s="25" t="s">
        <v>402</v>
      </c>
      <c r="C54" s="280" t="s">
        <v>370</v>
      </c>
      <c r="D54" s="13">
        <v>0.7</v>
      </c>
      <c r="E54" s="14" t="s">
        <v>12</v>
      </c>
      <c r="F54" s="15">
        <v>288.48</v>
      </c>
      <c r="G54" s="16">
        <f t="shared" si="1"/>
        <v>201.936</v>
      </c>
      <c r="H54" s="186"/>
    </row>
    <row r="55" spans="1:8" ht="12.75" customHeight="1">
      <c r="A55" s="339" t="s">
        <v>362</v>
      </c>
      <c r="B55" s="25" t="s">
        <v>403</v>
      </c>
      <c r="C55" s="280" t="s">
        <v>370</v>
      </c>
      <c r="D55" s="13">
        <v>0.76</v>
      </c>
      <c r="E55" s="14" t="s">
        <v>12</v>
      </c>
      <c r="F55" s="15">
        <v>288.48</v>
      </c>
      <c r="G55" s="16">
        <f t="shared" si="1"/>
        <v>219.24480000000003</v>
      </c>
      <c r="H55" s="186"/>
    </row>
    <row r="56" spans="1:9" ht="12.75" customHeight="1" thickBot="1">
      <c r="A56" s="339" t="s">
        <v>363</v>
      </c>
      <c r="B56" s="25" t="s">
        <v>364</v>
      </c>
      <c r="C56" s="27" t="s">
        <v>345</v>
      </c>
      <c r="D56" s="13">
        <v>16</v>
      </c>
      <c r="E56" s="14" t="s">
        <v>12</v>
      </c>
      <c r="F56" s="15">
        <v>425.78</v>
      </c>
      <c r="G56" s="16">
        <f t="shared" si="1"/>
        <v>6812.48</v>
      </c>
      <c r="H56" s="278"/>
      <c r="I56" s="279"/>
    </row>
    <row r="57" spans="1:8" ht="15" customHeight="1" thickBot="1" thickTop="1">
      <c r="A57" s="35"/>
      <c r="B57" s="36" t="s">
        <v>191</v>
      </c>
      <c r="C57" s="37"/>
      <c r="D57" s="38"/>
      <c r="E57" s="39"/>
      <c r="F57" s="40"/>
      <c r="G57" s="24">
        <f>SUM(G39:G56)</f>
        <v>27954.962400000004</v>
      </c>
      <c r="H57" s="135"/>
    </row>
    <row r="58" spans="1:8" ht="15" customHeight="1" thickTop="1">
      <c r="A58" s="80">
        <v>5</v>
      </c>
      <c r="B58" s="81" t="s">
        <v>365</v>
      </c>
      <c r="C58" s="82"/>
      <c r="D58" s="83"/>
      <c r="E58" s="84"/>
      <c r="F58" s="85"/>
      <c r="G58" s="86"/>
      <c r="H58" s="135"/>
    </row>
    <row r="59" spans="1:8" ht="12.75" customHeight="1">
      <c r="A59" s="339" t="s">
        <v>40</v>
      </c>
      <c r="B59" s="25" t="s">
        <v>366</v>
      </c>
      <c r="C59" s="280" t="s">
        <v>371</v>
      </c>
      <c r="D59" s="48">
        <v>27.08</v>
      </c>
      <c r="E59" s="14" t="s">
        <v>12</v>
      </c>
      <c r="F59" s="15">
        <v>69.75</v>
      </c>
      <c r="G59" s="16">
        <f>D59*F59</f>
        <v>1888.83</v>
      </c>
      <c r="H59" s="135"/>
    </row>
    <row r="60" spans="1:8" ht="12.75" customHeight="1">
      <c r="A60" s="386" t="s">
        <v>213</v>
      </c>
      <c r="B60" s="28" t="s">
        <v>367</v>
      </c>
      <c r="C60" s="297" t="s">
        <v>306</v>
      </c>
      <c r="D60" s="368">
        <v>1</v>
      </c>
      <c r="E60" s="368" t="s">
        <v>79</v>
      </c>
      <c r="F60" s="368">
        <v>856.57</v>
      </c>
      <c r="G60" s="374">
        <f>D60*F60</f>
        <v>856.57</v>
      </c>
      <c r="H60" s="135"/>
    </row>
    <row r="61" spans="1:8" ht="12.75" customHeight="1">
      <c r="A61" s="387"/>
      <c r="B61" s="204"/>
      <c r="C61" s="298" t="s">
        <v>307</v>
      </c>
      <c r="D61" s="377"/>
      <c r="E61" s="377"/>
      <c r="F61" s="377"/>
      <c r="G61" s="376"/>
      <c r="H61" s="135"/>
    </row>
    <row r="62" spans="1:8" ht="12.75" customHeight="1">
      <c r="A62" s="386" t="s">
        <v>279</v>
      </c>
      <c r="B62" s="28" t="s">
        <v>368</v>
      </c>
      <c r="C62" s="297" t="s">
        <v>306</v>
      </c>
      <c r="D62" s="368">
        <v>1</v>
      </c>
      <c r="E62" s="368" t="s">
        <v>79</v>
      </c>
      <c r="F62" s="368">
        <v>1842.45</v>
      </c>
      <c r="G62" s="374">
        <f>D62*F62</f>
        <v>1842.45</v>
      </c>
      <c r="H62" s="135"/>
    </row>
    <row r="63" spans="1:8" ht="12.75" customHeight="1">
      <c r="A63" s="387"/>
      <c r="B63" s="204"/>
      <c r="C63" s="298" t="s">
        <v>307</v>
      </c>
      <c r="D63" s="377"/>
      <c r="E63" s="377"/>
      <c r="F63" s="377"/>
      <c r="G63" s="376"/>
      <c r="H63" s="135"/>
    </row>
    <row r="64" spans="1:8" ht="12.75" customHeight="1">
      <c r="A64" s="386" t="s">
        <v>280</v>
      </c>
      <c r="B64" s="49" t="s">
        <v>372</v>
      </c>
      <c r="C64" s="297" t="s">
        <v>306</v>
      </c>
      <c r="D64" s="368">
        <v>1</v>
      </c>
      <c r="E64" s="368" t="s">
        <v>79</v>
      </c>
      <c r="F64" s="368">
        <v>524.99</v>
      </c>
      <c r="G64" s="374">
        <f>D64*F64</f>
        <v>524.99</v>
      </c>
      <c r="H64" s="135"/>
    </row>
    <row r="65" spans="1:8" ht="12.75" customHeight="1" thickBot="1">
      <c r="A65" s="387"/>
      <c r="B65" s="344"/>
      <c r="C65" s="299">
        <v>282037</v>
      </c>
      <c r="D65" s="369"/>
      <c r="E65" s="369"/>
      <c r="F65" s="369"/>
      <c r="G65" s="375"/>
      <c r="H65" s="135"/>
    </row>
    <row r="66" spans="1:8" ht="15" customHeight="1" thickBot="1" thickTop="1">
      <c r="A66" s="35"/>
      <c r="B66" s="36" t="s">
        <v>191</v>
      </c>
      <c r="C66" s="37"/>
      <c r="D66" s="38"/>
      <c r="E66" s="39"/>
      <c r="F66" s="333"/>
      <c r="G66" s="24">
        <f>SUM(G59:G65)</f>
        <v>5112.84</v>
      </c>
      <c r="H66" s="135"/>
    </row>
    <row r="67" spans="1:8" ht="15" customHeight="1" thickTop="1">
      <c r="A67" s="80">
        <v>6</v>
      </c>
      <c r="B67" s="81" t="s">
        <v>41</v>
      </c>
      <c r="C67" s="82"/>
      <c r="D67" s="83"/>
      <c r="E67" s="84"/>
      <c r="F67" s="68"/>
      <c r="G67" s="86"/>
      <c r="H67" s="135"/>
    </row>
    <row r="68" spans="1:8" ht="12.75" customHeight="1">
      <c r="A68" s="339" t="s">
        <v>42</v>
      </c>
      <c r="B68" s="25" t="s">
        <v>251</v>
      </c>
      <c r="C68" s="334" t="s">
        <v>414</v>
      </c>
      <c r="D68" s="13">
        <v>305.99</v>
      </c>
      <c r="E68" s="14" t="s">
        <v>12</v>
      </c>
      <c r="F68" s="44">
        <v>52.97</v>
      </c>
      <c r="G68" s="16">
        <f aca="true" t="shared" si="2" ref="G68:G74">D68*F68</f>
        <v>16208.2903</v>
      </c>
      <c r="H68" s="136"/>
    </row>
    <row r="69" spans="1:8" ht="12.75" customHeight="1">
      <c r="A69" s="339" t="s">
        <v>43</v>
      </c>
      <c r="B69" s="25" t="s">
        <v>235</v>
      </c>
      <c r="C69" s="334" t="s">
        <v>431</v>
      </c>
      <c r="D69" s="13">
        <v>305.99</v>
      </c>
      <c r="E69" s="14" t="s">
        <v>12</v>
      </c>
      <c r="F69" s="44">
        <v>32.98</v>
      </c>
      <c r="G69" s="16">
        <f t="shared" si="2"/>
        <v>10091.5502</v>
      </c>
      <c r="H69" s="136"/>
    </row>
    <row r="70" spans="1:8" ht="12.75" customHeight="1">
      <c r="A70" s="339" t="s">
        <v>44</v>
      </c>
      <c r="B70" s="25" t="s">
        <v>249</v>
      </c>
      <c r="C70" s="281" t="s">
        <v>250</v>
      </c>
      <c r="D70" s="48">
        <v>19.8</v>
      </c>
      <c r="E70" s="45" t="s">
        <v>12</v>
      </c>
      <c r="F70" s="44">
        <v>163.7</v>
      </c>
      <c r="G70" s="16">
        <f t="shared" si="2"/>
        <v>3241.2599999999998</v>
      </c>
      <c r="H70" s="136"/>
    </row>
    <row r="71" spans="1:8" ht="12.75" customHeight="1">
      <c r="A71" s="339" t="s">
        <v>46</v>
      </c>
      <c r="B71" s="25" t="s">
        <v>45</v>
      </c>
      <c r="C71" s="27">
        <v>72105</v>
      </c>
      <c r="D71" s="13">
        <v>71.11</v>
      </c>
      <c r="E71" s="14" t="s">
        <v>20</v>
      </c>
      <c r="F71" s="15">
        <v>44.53</v>
      </c>
      <c r="G71" s="16">
        <f t="shared" si="2"/>
        <v>3166.5283</v>
      </c>
      <c r="H71" s="135"/>
    </row>
    <row r="72" spans="1:8" ht="12.75" customHeight="1">
      <c r="A72" s="339" t="s">
        <v>48</v>
      </c>
      <c r="B72" s="25" t="s">
        <v>47</v>
      </c>
      <c r="C72" s="26">
        <v>89512</v>
      </c>
      <c r="D72" s="13">
        <v>51</v>
      </c>
      <c r="E72" s="14" t="s">
        <v>20</v>
      </c>
      <c r="F72" s="15">
        <v>40.51</v>
      </c>
      <c r="G72" s="16">
        <f t="shared" si="2"/>
        <v>2066.0099999999998</v>
      </c>
      <c r="H72" s="135"/>
    </row>
    <row r="73" spans="1:8" ht="12.75" customHeight="1">
      <c r="A73" s="339" t="s">
        <v>50</v>
      </c>
      <c r="B73" s="25" t="s">
        <v>49</v>
      </c>
      <c r="C73" s="27">
        <v>72105</v>
      </c>
      <c r="D73" s="13">
        <v>117.75</v>
      </c>
      <c r="E73" s="14" t="s">
        <v>20</v>
      </c>
      <c r="F73" s="44">
        <v>44.53</v>
      </c>
      <c r="G73" s="16">
        <f t="shared" si="2"/>
        <v>5243.4075</v>
      </c>
      <c r="H73" s="136"/>
    </row>
    <row r="74" spans="1:8" ht="12.75" customHeight="1" thickBot="1">
      <c r="A74" s="339" t="s">
        <v>200</v>
      </c>
      <c r="B74" s="25" t="s">
        <v>51</v>
      </c>
      <c r="C74" s="27">
        <v>72104</v>
      </c>
      <c r="D74" s="13">
        <v>71.4</v>
      </c>
      <c r="E74" s="14" t="s">
        <v>20</v>
      </c>
      <c r="F74" s="44">
        <v>29</v>
      </c>
      <c r="G74" s="16">
        <f t="shared" si="2"/>
        <v>2070.6000000000004</v>
      </c>
      <c r="H74" s="135"/>
    </row>
    <row r="75" spans="1:8" ht="15" customHeight="1" thickBot="1" thickTop="1">
      <c r="A75" s="35"/>
      <c r="B75" s="36" t="s">
        <v>191</v>
      </c>
      <c r="C75" s="37"/>
      <c r="D75" s="38"/>
      <c r="E75" s="39"/>
      <c r="F75" s="40"/>
      <c r="G75" s="24">
        <f>SUM(G68:G74)</f>
        <v>42087.6463</v>
      </c>
      <c r="H75" s="135"/>
    </row>
    <row r="76" spans="1:8" ht="15" customHeight="1" thickTop="1">
      <c r="A76" s="80">
        <v>7</v>
      </c>
      <c r="B76" s="81" t="s">
        <v>52</v>
      </c>
      <c r="C76" s="82"/>
      <c r="D76" s="83"/>
      <c r="E76" s="84"/>
      <c r="F76" s="85"/>
      <c r="G76" s="86"/>
      <c r="H76" s="135"/>
    </row>
    <row r="77" spans="1:8" ht="12.75" customHeight="1">
      <c r="A77" s="339" t="s">
        <v>53</v>
      </c>
      <c r="B77" s="25" t="s">
        <v>54</v>
      </c>
      <c r="C77" s="27">
        <v>87905</v>
      </c>
      <c r="D77" s="13">
        <v>1799.28</v>
      </c>
      <c r="E77" s="14" t="s">
        <v>12</v>
      </c>
      <c r="F77" s="15">
        <v>5.68</v>
      </c>
      <c r="G77" s="16">
        <f aca="true" t="shared" si="3" ref="G77:G82">D77*F77</f>
        <v>10219.910399999999</v>
      </c>
      <c r="H77" s="135"/>
    </row>
    <row r="78" spans="1:8" ht="12.75" customHeight="1">
      <c r="A78" s="339" t="s">
        <v>55</v>
      </c>
      <c r="B78" s="25" t="s">
        <v>228</v>
      </c>
      <c r="C78" s="27">
        <v>87548</v>
      </c>
      <c r="D78" s="13">
        <v>1799.28</v>
      </c>
      <c r="E78" s="14" t="s">
        <v>12</v>
      </c>
      <c r="F78" s="44">
        <v>16.31</v>
      </c>
      <c r="G78" s="16">
        <f t="shared" si="3"/>
        <v>29346.256799999996</v>
      </c>
      <c r="H78" s="135"/>
    </row>
    <row r="79" spans="1:8" ht="12.75" customHeight="1">
      <c r="A79" s="339" t="s">
        <v>56</v>
      </c>
      <c r="B79" s="25" t="s">
        <v>57</v>
      </c>
      <c r="C79" s="27">
        <v>87265</v>
      </c>
      <c r="D79" s="13">
        <v>387.22</v>
      </c>
      <c r="E79" s="14" t="s">
        <v>12</v>
      </c>
      <c r="F79" s="15">
        <v>40.06</v>
      </c>
      <c r="G79" s="16">
        <f t="shared" si="3"/>
        <v>15512.033200000002</v>
      </c>
      <c r="H79" s="187"/>
    </row>
    <row r="80" spans="1:8" ht="12.75" customHeight="1">
      <c r="A80" s="339" t="s">
        <v>216</v>
      </c>
      <c r="B80" s="25" t="s">
        <v>218</v>
      </c>
      <c r="C80" s="281" t="s">
        <v>219</v>
      </c>
      <c r="D80" s="48">
        <v>371.28</v>
      </c>
      <c r="E80" s="282" t="s">
        <v>20</v>
      </c>
      <c r="F80" s="48">
        <v>12.08</v>
      </c>
      <c r="G80" s="16">
        <f t="shared" si="3"/>
        <v>4485.0624</v>
      </c>
      <c r="H80" s="184"/>
    </row>
    <row r="81" spans="1:8" ht="12.75" customHeight="1">
      <c r="A81" s="339" t="s">
        <v>217</v>
      </c>
      <c r="B81" s="25" t="s">
        <v>373</v>
      </c>
      <c r="C81" s="281" t="s">
        <v>374</v>
      </c>
      <c r="D81" s="48">
        <v>146.54</v>
      </c>
      <c r="E81" s="282" t="s">
        <v>20</v>
      </c>
      <c r="F81" s="48">
        <v>21.5</v>
      </c>
      <c r="G81" s="16">
        <f t="shared" si="3"/>
        <v>3150.6099999999997</v>
      </c>
      <c r="H81" s="184"/>
    </row>
    <row r="82" spans="1:8" ht="12.75" customHeight="1" thickBot="1">
      <c r="A82" s="339" t="s">
        <v>395</v>
      </c>
      <c r="B82" s="183" t="s">
        <v>396</v>
      </c>
      <c r="C82" s="27" t="s">
        <v>397</v>
      </c>
      <c r="D82" s="48">
        <v>60.1</v>
      </c>
      <c r="E82" s="182" t="s">
        <v>20</v>
      </c>
      <c r="F82" s="48">
        <v>26.26</v>
      </c>
      <c r="G82" s="16">
        <f t="shared" si="3"/>
        <v>1578.226</v>
      </c>
      <c r="H82" s="184"/>
    </row>
    <row r="83" spans="1:8" ht="15" customHeight="1" thickBot="1" thickTop="1">
      <c r="A83" s="35"/>
      <c r="B83" s="36" t="s">
        <v>191</v>
      </c>
      <c r="C83" s="37"/>
      <c r="D83" s="38"/>
      <c r="E83" s="39"/>
      <c r="F83" s="40"/>
      <c r="G83" s="24">
        <f>SUM(G77:G82)</f>
        <v>64292.09880000001</v>
      </c>
      <c r="H83" s="133"/>
    </row>
    <row r="84" spans="1:8" ht="15" customHeight="1" thickTop="1">
      <c r="A84" s="80">
        <v>8</v>
      </c>
      <c r="B84" s="81" t="s">
        <v>58</v>
      </c>
      <c r="C84" s="82"/>
      <c r="D84" s="83"/>
      <c r="E84" s="84"/>
      <c r="F84" s="85"/>
      <c r="G84" s="86"/>
      <c r="H84" s="135"/>
    </row>
    <row r="85" spans="1:8" ht="12.75" customHeight="1">
      <c r="A85" s="339" t="s">
        <v>59</v>
      </c>
      <c r="B85" s="25" t="s">
        <v>246</v>
      </c>
      <c r="C85" s="27" t="s">
        <v>346</v>
      </c>
      <c r="D85" s="13">
        <v>1262.02</v>
      </c>
      <c r="E85" s="14" t="s">
        <v>12</v>
      </c>
      <c r="F85" s="15">
        <v>12.92</v>
      </c>
      <c r="G85" s="16">
        <f>D85*F85</f>
        <v>16305.2984</v>
      </c>
      <c r="H85" s="133"/>
    </row>
    <row r="86" spans="1:8" ht="12.75" customHeight="1">
      <c r="A86" s="339" t="s">
        <v>60</v>
      </c>
      <c r="B86" s="25" t="s">
        <v>237</v>
      </c>
      <c r="C86" s="281" t="s">
        <v>247</v>
      </c>
      <c r="D86" s="48">
        <v>150.04</v>
      </c>
      <c r="E86" s="45" t="s">
        <v>12</v>
      </c>
      <c r="F86" s="44">
        <v>18.35</v>
      </c>
      <c r="G86" s="16">
        <f>D86*F86</f>
        <v>2753.234</v>
      </c>
      <c r="H86" s="133"/>
    </row>
    <row r="87" spans="1:8" ht="12.75" customHeight="1">
      <c r="A87" s="339" t="s">
        <v>63</v>
      </c>
      <c r="B87" s="25" t="s">
        <v>61</v>
      </c>
      <c r="C87" s="27" t="s">
        <v>62</v>
      </c>
      <c r="D87" s="13">
        <v>50.96</v>
      </c>
      <c r="E87" s="14" t="s">
        <v>12</v>
      </c>
      <c r="F87" s="15">
        <v>22.18</v>
      </c>
      <c r="G87" s="16">
        <f>D87*F87</f>
        <v>1130.2928</v>
      </c>
      <c r="H87" s="135"/>
    </row>
    <row r="88" spans="1:8" ht="12.75" customHeight="1" thickBot="1">
      <c r="A88" s="339" t="s">
        <v>236</v>
      </c>
      <c r="B88" s="25" t="s">
        <v>64</v>
      </c>
      <c r="C88" s="27" t="s">
        <v>65</v>
      </c>
      <c r="D88" s="13">
        <v>96.6</v>
      </c>
      <c r="E88" s="14" t="s">
        <v>12</v>
      </c>
      <c r="F88" s="15">
        <v>20.95</v>
      </c>
      <c r="G88" s="16">
        <f>D88*F88</f>
        <v>2023.7699999999998</v>
      </c>
      <c r="H88" s="135"/>
    </row>
    <row r="89" spans="1:8" ht="15" customHeight="1" thickBot="1" thickTop="1">
      <c r="A89" s="35"/>
      <c r="B89" s="36" t="s">
        <v>191</v>
      </c>
      <c r="C89" s="37"/>
      <c r="D89" s="38"/>
      <c r="E89" s="39"/>
      <c r="F89" s="40"/>
      <c r="G89" s="24">
        <f>SUM(G85:G88)</f>
        <v>22212.5952</v>
      </c>
      <c r="H89" s="135"/>
    </row>
    <row r="90" spans="1:8" ht="15" customHeight="1" thickTop="1">
      <c r="A90" s="80">
        <v>9</v>
      </c>
      <c r="B90" s="81" t="s">
        <v>66</v>
      </c>
      <c r="C90" s="82"/>
      <c r="D90" s="83"/>
      <c r="E90" s="84"/>
      <c r="F90" s="85"/>
      <c r="G90" s="86"/>
      <c r="H90" s="135"/>
    </row>
    <row r="91" spans="1:8" ht="12.75" customHeight="1">
      <c r="A91" s="339" t="s">
        <v>67</v>
      </c>
      <c r="B91" s="25" t="s">
        <v>68</v>
      </c>
      <c r="C91" s="27">
        <v>5622</v>
      </c>
      <c r="D91" s="13">
        <v>271.33</v>
      </c>
      <c r="E91" s="14" t="s">
        <v>12</v>
      </c>
      <c r="F91" s="44">
        <v>4.7</v>
      </c>
      <c r="G91" s="16">
        <f>D91*F91</f>
        <v>1275.251</v>
      </c>
      <c r="H91" s="135"/>
    </row>
    <row r="92" spans="1:8" ht="12.75" customHeight="1">
      <c r="A92" s="339" t="s">
        <v>69</v>
      </c>
      <c r="B92" s="25" t="s">
        <v>208</v>
      </c>
      <c r="C92" s="27" t="s">
        <v>229</v>
      </c>
      <c r="D92" s="13">
        <v>271.33</v>
      </c>
      <c r="E92" s="14" t="s">
        <v>12</v>
      </c>
      <c r="F92" s="44">
        <v>27.82</v>
      </c>
      <c r="G92" s="16">
        <f>D92*F92</f>
        <v>7548.4006</v>
      </c>
      <c r="H92" s="136"/>
    </row>
    <row r="93" spans="1:8" ht="12.75" customHeight="1">
      <c r="A93" s="339" t="s">
        <v>70</v>
      </c>
      <c r="B93" s="25" t="s">
        <v>432</v>
      </c>
      <c r="C93" s="283" t="s">
        <v>352</v>
      </c>
      <c r="D93" s="48">
        <v>5.42</v>
      </c>
      <c r="E93" s="45" t="s">
        <v>17</v>
      </c>
      <c r="F93" s="44">
        <v>498.18</v>
      </c>
      <c r="G93" s="16">
        <f>D93*F93</f>
        <v>2700.1356</v>
      </c>
      <c r="H93" s="136"/>
    </row>
    <row r="94" spans="1:8" ht="12.75" customHeight="1">
      <c r="A94" s="339" t="s">
        <v>71</v>
      </c>
      <c r="B94" s="25" t="s">
        <v>433</v>
      </c>
      <c r="C94" s="334" t="s">
        <v>434</v>
      </c>
      <c r="D94" s="13">
        <v>271.33</v>
      </c>
      <c r="E94" s="14" t="s">
        <v>12</v>
      </c>
      <c r="F94" s="15">
        <v>35.3</v>
      </c>
      <c r="G94" s="16">
        <f>D94*F94</f>
        <v>9577.948999999999</v>
      </c>
      <c r="H94" s="185"/>
    </row>
    <row r="95" spans="1:8" ht="12.75" customHeight="1" thickBot="1">
      <c r="A95" s="339" t="s">
        <v>72</v>
      </c>
      <c r="B95" s="28" t="s">
        <v>73</v>
      </c>
      <c r="C95" s="41">
        <v>88649</v>
      </c>
      <c r="D95" s="32">
        <v>159.39</v>
      </c>
      <c r="E95" s="31" t="s">
        <v>20</v>
      </c>
      <c r="F95" s="32">
        <v>10.29</v>
      </c>
      <c r="G95" s="16">
        <f>D95*F95</f>
        <v>1640.1230999999998</v>
      </c>
      <c r="H95" s="135"/>
    </row>
    <row r="96" spans="1:8" ht="15" customHeight="1" thickBot="1" thickTop="1">
      <c r="A96" s="35"/>
      <c r="B96" s="36" t="s">
        <v>191</v>
      </c>
      <c r="C96" s="37"/>
      <c r="D96" s="40"/>
      <c r="E96" s="39"/>
      <c r="F96" s="40"/>
      <c r="G96" s="24">
        <f>SUM(G91:G95)</f>
        <v>22741.8593</v>
      </c>
      <c r="H96" s="135"/>
    </row>
    <row r="97" spans="1:8" ht="15" customHeight="1" thickTop="1">
      <c r="A97" s="75">
        <v>10</v>
      </c>
      <c r="B97" s="76" t="s">
        <v>209</v>
      </c>
      <c r="C97" s="77"/>
      <c r="D97" s="79"/>
      <c r="E97" s="78"/>
      <c r="F97" s="79"/>
      <c r="G97" s="74"/>
      <c r="H97" s="139"/>
    </row>
    <row r="98" spans="1:8" ht="15" customHeight="1">
      <c r="A98" s="64" t="s">
        <v>74</v>
      </c>
      <c r="B98" s="65" t="s">
        <v>75</v>
      </c>
      <c r="C98" s="87"/>
      <c r="D98" s="68"/>
      <c r="E98" s="67"/>
      <c r="F98" s="68"/>
      <c r="G98" s="69"/>
      <c r="H98" s="139"/>
    </row>
    <row r="99" spans="1:8" ht="12.75" customHeight="1">
      <c r="A99" s="336" t="s">
        <v>76</v>
      </c>
      <c r="B99" s="42" t="s">
        <v>77</v>
      </c>
      <c r="C99" s="43" t="s">
        <v>78</v>
      </c>
      <c r="D99" s="331">
        <v>1</v>
      </c>
      <c r="E99" s="45" t="s">
        <v>79</v>
      </c>
      <c r="F99" s="44">
        <v>581.16</v>
      </c>
      <c r="G99" s="16">
        <f aca="true" t="shared" si="4" ref="G99:G111">D99*F99</f>
        <v>581.16</v>
      </c>
      <c r="H99" s="295" t="s">
        <v>248</v>
      </c>
    </row>
    <row r="100" spans="1:8" ht="12.75" customHeight="1">
      <c r="A100" s="336" t="s">
        <v>80</v>
      </c>
      <c r="B100" s="42" t="s">
        <v>81</v>
      </c>
      <c r="C100" s="280" t="s">
        <v>418</v>
      </c>
      <c r="D100" s="331">
        <v>6</v>
      </c>
      <c r="E100" s="45" t="s">
        <v>20</v>
      </c>
      <c r="F100" s="44">
        <v>37</v>
      </c>
      <c r="G100" s="16">
        <f t="shared" si="4"/>
        <v>222</v>
      </c>
      <c r="H100" s="295" t="s">
        <v>309</v>
      </c>
    </row>
    <row r="101" spans="1:8" ht="12.75" customHeight="1">
      <c r="A101" s="336" t="s">
        <v>82</v>
      </c>
      <c r="B101" s="42" t="s">
        <v>83</v>
      </c>
      <c r="C101" s="280" t="s">
        <v>415</v>
      </c>
      <c r="D101" s="331">
        <v>3</v>
      </c>
      <c r="E101" s="45" t="s">
        <v>20</v>
      </c>
      <c r="F101" s="44">
        <v>22.41</v>
      </c>
      <c r="G101" s="16">
        <f t="shared" si="4"/>
        <v>67.23</v>
      </c>
      <c r="H101" s="295" t="s">
        <v>369</v>
      </c>
    </row>
    <row r="102" spans="1:8" ht="12.75" customHeight="1">
      <c r="A102" s="336" t="s">
        <v>84</v>
      </c>
      <c r="B102" s="42" t="s">
        <v>85</v>
      </c>
      <c r="C102" s="284" t="s">
        <v>230</v>
      </c>
      <c r="D102" s="331">
        <v>1</v>
      </c>
      <c r="E102" s="45" t="s">
        <v>79</v>
      </c>
      <c r="F102" s="44">
        <v>912.46</v>
      </c>
      <c r="G102" s="16">
        <f t="shared" si="4"/>
        <v>912.46</v>
      </c>
      <c r="H102" s="296"/>
    </row>
    <row r="103" spans="1:8" ht="12.75" customHeight="1">
      <c r="A103" s="336" t="s">
        <v>86</v>
      </c>
      <c r="B103" s="42" t="s">
        <v>87</v>
      </c>
      <c r="C103" s="284" t="s">
        <v>88</v>
      </c>
      <c r="D103" s="331">
        <v>1</v>
      </c>
      <c r="E103" s="45" t="s">
        <v>79</v>
      </c>
      <c r="F103" s="44">
        <v>390.9</v>
      </c>
      <c r="G103" s="46">
        <f t="shared" si="4"/>
        <v>390.9</v>
      </c>
      <c r="H103" s="296"/>
    </row>
    <row r="104" spans="1:8" ht="12.75" customHeight="1">
      <c r="A104" s="336" t="s">
        <v>89</v>
      </c>
      <c r="B104" s="42" t="s">
        <v>90</v>
      </c>
      <c r="C104" s="26">
        <v>72255</v>
      </c>
      <c r="D104" s="331">
        <v>44</v>
      </c>
      <c r="E104" s="45" t="s">
        <v>20</v>
      </c>
      <c r="F104" s="44">
        <v>37.85</v>
      </c>
      <c r="G104" s="16">
        <f t="shared" si="4"/>
        <v>1665.4</v>
      </c>
      <c r="H104" s="296"/>
    </row>
    <row r="105" spans="1:8" ht="12.75" customHeight="1">
      <c r="A105" s="336" t="s">
        <v>91</v>
      </c>
      <c r="B105" s="42" t="s">
        <v>92</v>
      </c>
      <c r="C105" s="26">
        <v>72253</v>
      </c>
      <c r="D105" s="331">
        <v>3</v>
      </c>
      <c r="E105" s="45" t="s">
        <v>20</v>
      </c>
      <c r="F105" s="44">
        <v>20.5</v>
      </c>
      <c r="G105" s="16">
        <f t="shared" si="4"/>
        <v>61.5</v>
      </c>
      <c r="H105" s="296"/>
    </row>
    <row r="106" spans="1:8" ht="12.75" customHeight="1">
      <c r="A106" s="336" t="s">
        <v>93</v>
      </c>
      <c r="B106" s="42" t="s">
        <v>347</v>
      </c>
      <c r="C106" s="26">
        <v>72326</v>
      </c>
      <c r="D106" s="331">
        <v>2</v>
      </c>
      <c r="E106" s="45" t="s">
        <v>79</v>
      </c>
      <c r="F106" s="44">
        <v>414.53</v>
      </c>
      <c r="G106" s="16">
        <f t="shared" si="4"/>
        <v>829.06</v>
      </c>
      <c r="H106" s="296"/>
    </row>
    <row r="107" spans="1:8" ht="12.75" customHeight="1">
      <c r="A107" s="336" t="s">
        <v>94</v>
      </c>
      <c r="B107" s="42" t="s">
        <v>95</v>
      </c>
      <c r="C107" s="26">
        <v>72330</v>
      </c>
      <c r="D107" s="331">
        <v>3</v>
      </c>
      <c r="E107" s="45" t="s">
        <v>38</v>
      </c>
      <c r="F107" s="44">
        <v>27.74</v>
      </c>
      <c r="G107" s="16">
        <f t="shared" si="4"/>
        <v>83.22</v>
      </c>
      <c r="H107" s="296"/>
    </row>
    <row r="108" spans="1:8" ht="12.75" customHeight="1">
      <c r="A108" s="336" t="s">
        <v>96</v>
      </c>
      <c r="B108" s="42" t="s">
        <v>97</v>
      </c>
      <c r="C108" s="26">
        <v>68069</v>
      </c>
      <c r="D108" s="331">
        <v>1</v>
      </c>
      <c r="E108" s="45" t="s">
        <v>38</v>
      </c>
      <c r="F108" s="44">
        <v>43.63</v>
      </c>
      <c r="G108" s="16">
        <f t="shared" si="4"/>
        <v>43.63</v>
      </c>
      <c r="H108" s="296"/>
    </row>
    <row r="109" spans="1:8" ht="12.75" customHeight="1">
      <c r="A109" s="336" t="s">
        <v>98</v>
      </c>
      <c r="B109" s="42" t="s">
        <v>99</v>
      </c>
      <c r="C109" s="284" t="s">
        <v>100</v>
      </c>
      <c r="D109" s="331">
        <v>1</v>
      </c>
      <c r="E109" s="45" t="s">
        <v>79</v>
      </c>
      <c r="F109" s="44">
        <v>19.14</v>
      </c>
      <c r="G109" s="46">
        <f t="shared" si="4"/>
        <v>19.14</v>
      </c>
      <c r="H109" s="296"/>
    </row>
    <row r="110" spans="1:8" ht="12.75" customHeight="1">
      <c r="A110" s="336" t="s">
        <v>101</v>
      </c>
      <c r="B110" s="42" t="s">
        <v>102</v>
      </c>
      <c r="C110" s="26">
        <v>72264</v>
      </c>
      <c r="D110" s="331">
        <v>18</v>
      </c>
      <c r="E110" s="45" t="s">
        <v>38</v>
      </c>
      <c r="F110" s="44">
        <v>18.23</v>
      </c>
      <c r="G110" s="16">
        <f t="shared" si="4"/>
        <v>328.14</v>
      </c>
      <c r="H110" s="296"/>
    </row>
    <row r="111" spans="1:8" ht="12.75" customHeight="1">
      <c r="A111" s="336" t="s">
        <v>103</v>
      </c>
      <c r="B111" s="42" t="s">
        <v>104</v>
      </c>
      <c r="C111" s="26">
        <v>72262</v>
      </c>
      <c r="D111" s="331">
        <v>1</v>
      </c>
      <c r="E111" s="45" t="s">
        <v>38</v>
      </c>
      <c r="F111" s="44">
        <v>13.77</v>
      </c>
      <c r="G111" s="16">
        <f t="shared" si="4"/>
        <v>13.77</v>
      </c>
      <c r="H111" s="296"/>
    </row>
    <row r="112" spans="1:8" ht="15" customHeight="1">
      <c r="A112" s="64" t="s">
        <v>105</v>
      </c>
      <c r="B112" s="65" t="s">
        <v>106</v>
      </c>
      <c r="C112" s="87"/>
      <c r="D112" s="68"/>
      <c r="E112" s="67"/>
      <c r="F112" s="68"/>
      <c r="G112" s="69"/>
      <c r="H112" s="140"/>
    </row>
    <row r="113" spans="1:8" ht="12.75" customHeight="1">
      <c r="A113" s="47" t="s">
        <v>107</v>
      </c>
      <c r="B113" s="42" t="s">
        <v>108</v>
      </c>
      <c r="C113" s="284" t="s">
        <v>419</v>
      </c>
      <c r="D113" s="331">
        <v>300</v>
      </c>
      <c r="E113" s="45" t="s">
        <v>20</v>
      </c>
      <c r="F113" s="44">
        <v>1.79</v>
      </c>
      <c r="G113" s="16">
        <f aca="true" t="shared" si="5" ref="G113:G139">D113*F113</f>
        <v>537</v>
      </c>
      <c r="H113" s="295"/>
    </row>
    <row r="114" spans="1:8" ht="12.75" customHeight="1">
      <c r="A114" s="47" t="s">
        <v>109</v>
      </c>
      <c r="B114" s="42" t="s">
        <v>110</v>
      </c>
      <c r="C114" s="284" t="s">
        <v>419</v>
      </c>
      <c r="D114" s="331">
        <v>300</v>
      </c>
      <c r="E114" s="45" t="s">
        <v>20</v>
      </c>
      <c r="F114" s="44">
        <v>1.79</v>
      </c>
      <c r="G114" s="16">
        <f t="shared" si="5"/>
        <v>537</v>
      </c>
      <c r="H114" s="295" t="s">
        <v>394</v>
      </c>
    </row>
    <row r="115" spans="1:8" ht="12.75" customHeight="1">
      <c r="A115" s="47" t="s">
        <v>111</v>
      </c>
      <c r="B115" s="42" t="s">
        <v>112</v>
      </c>
      <c r="C115" s="284" t="s">
        <v>419</v>
      </c>
      <c r="D115" s="331">
        <v>300</v>
      </c>
      <c r="E115" s="45" t="s">
        <v>20</v>
      </c>
      <c r="F115" s="44">
        <v>1.79</v>
      </c>
      <c r="G115" s="16">
        <f t="shared" si="5"/>
        <v>537</v>
      </c>
      <c r="H115" s="295" t="s">
        <v>393</v>
      </c>
    </row>
    <row r="116" spans="1:8" ht="12.75" customHeight="1">
      <c r="A116" s="47" t="s">
        <v>113</v>
      </c>
      <c r="B116" s="42" t="s">
        <v>114</v>
      </c>
      <c r="C116" s="284" t="s">
        <v>420</v>
      </c>
      <c r="D116" s="331">
        <v>300</v>
      </c>
      <c r="E116" s="45" t="s">
        <v>20</v>
      </c>
      <c r="F116" s="44">
        <v>2.45</v>
      </c>
      <c r="G116" s="16">
        <f t="shared" si="5"/>
        <v>735</v>
      </c>
      <c r="H116" s="295"/>
    </row>
    <row r="117" spans="1:8" ht="12.75" customHeight="1">
      <c r="A117" s="47" t="s">
        <v>115</v>
      </c>
      <c r="B117" s="42" t="s">
        <v>116</v>
      </c>
      <c r="C117" s="284" t="s">
        <v>420</v>
      </c>
      <c r="D117" s="331">
        <v>300</v>
      </c>
      <c r="E117" s="45" t="s">
        <v>20</v>
      </c>
      <c r="F117" s="44">
        <v>2.45</v>
      </c>
      <c r="G117" s="16">
        <f t="shared" si="5"/>
        <v>735</v>
      </c>
      <c r="H117" s="295"/>
    </row>
    <row r="118" spans="1:8" ht="12.75" customHeight="1">
      <c r="A118" s="47" t="s">
        <v>117</v>
      </c>
      <c r="B118" s="42" t="s">
        <v>118</v>
      </c>
      <c r="C118" s="284" t="s">
        <v>420</v>
      </c>
      <c r="D118" s="331">
        <v>300</v>
      </c>
      <c r="E118" s="45" t="s">
        <v>20</v>
      </c>
      <c r="F118" s="44">
        <v>2.45</v>
      </c>
      <c r="G118" s="16">
        <f t="shared" si="5"/>
        <v>735</v>
      </c>
      <c r="H118" s="295"/>
    </row>
    <row r="119" spans="1:8" ht="12.75" customHeight="1">
      <c r="A119" s="47" t="s">
        <v>119</v>
      </c>
      <c r="B119" s="42" t="s">
        <v>120</v>
      </c>
      <c r="C119" s="284" t="s">
        <v>421</v>
      </c>
      <c r="D119" s="44">
        <v>80</v>
      </c>
      <c r="E119" s="45" t="s">
        <v>20</v>
      </c>
      <c r="F119" s="44">
        <v>9</v>
      </c>
      <c r="G119" s="16">
        <f t="shared" si="5"/>
        <v>720</v>
      </c>
      <c r="H119" s="295"/>
    </row>
    <row r="120" spans="1:8" ht="12.75" customHeight="1">
      <c r="A120" s="47" t="s">
        <v>121</v>
      </c>
      <c r="B120" s="42" t="s">
        <v>122</v>
      </c>
      <c r="C120" s="284" t="s">
        <v>421</v>
      </c>
      <c r="D120" s="331">
        <v>40</v>
      </c>
      <c r="E120" s="45" t="s">
        <v>20</v>
      </c>
      <c r="F120" s="44">
        <v>9</v>
      </c>
      <c r="G120" s="16">
        <f t="shared" si="5"/>
        <v>360</v>
      </c>
      <c r="H120" s="295"/>
    </row>
    <row r="121" spans="1:8" ht="12.75" customHeight="1">
      <c r="A121" s="47" t="s">
        <v>123</v>
      </c>
      <c r="B121" s="42" t="s">
        <v>124</v>
      </c>
      <c r="C121" s="284" t="s">
        <v>421</v>
      </c>
      <c r="D121" s="331">
        <v>40</v>
      </c>
      <c r="E121" s="45" t="s">
        <v>20</v>
      </c>
      <c r="F121" s="44">
        <v>9</v>
      </c>
      <c r="G121" s="16">
        <f t="shared" si="5"/>
        <v>360</v>
      </c>
      <c r="H121" s="295"/>
    </row>
    <row r="122" spans="1:8" ht="12.75" customHeight="1">
      <c r="A122" s="47" t="s">
        <v>125</v>
      </c>
      <c r="B122" s="42" t="s">
        <v>126</v>
      </c>
      <c r="C122" s="26">
        <v>72251</v>
      </c>
      <c r="D122" s="331">
        <v>40</v>
      </c>
      <c r="E122" s="45" t="s">
        <v>20</v>
      </c>
      <c r="F122" s="44">
        <v>10.64</v>
      </c>
      <c r="G122" s="16">
        <f t="shared" si="5"/>
        <v>425.6</v>
      </c>
      <c r="H122" s="295"/>
    </row>
    <row r="123" spans="1:8" ht="12.75" customHeight="1">
      <c r="A123" s="47" t="s">
        <v>127</v>
      </c>
      <c r="B123" s="42" t="s">
        <v>128</v>
      </c>
      <c r="C123" s="26" t="s">
        <v>221</v>
      </c>
      <c r="D123" s="331">
        <v>100</v>
      </c>
      <c r="E123" s="45" t="s">
        <v>20</v>
      </c>
      <c r="F123" s="44">
        <v>13.35</v>
      </c>
      <c r="G123" s="16">
        <f t="shared" si="5"/>
        <v>1335</v>
      </c>
      <c r="H123" s="295"/>
    </row>
    <row r="124" spans="1:8" ht="12.75" customHeight="1">
      <c r="A124" s="47" t="s">
        <v>129</v>
      </c>
      <c r="B124" s="42" t="s">
        <v>130</v>
      </c>
      <c r="C124" s="26">
        <v>73689</v>
      </c>
      <c r="D124" s="331">
        <v>50</v>
      </c>
      <c r="E124" s="45" t="s">
        <v>20</v>
      </c>
      <c r="F124" s="44">
        <v>12.63</v>
      </c>
      <c r="G124" s="16">
        <f t="shared" si="5"/>
        <v>631.5</v>
      </c>
      <c r="H124" s="295"/>
    </row>
    <row r="125" spans="1:8" ht="12.75" customHeight="1">
      <c r="A125" s="47" t="s">
        <v>131</v>
      </c>
      <c r="B125" s="42" t="s">
        <v>132</v>
      </c>
      <c r="C125" s="26">
        <v>91991</v>
      </c>
      <c r="D125" s="331">
        <v>58</v>
      </c>
      <c r="E125" s="45" t="s">
        <v>38</v>
      </c>
      <c r="F125" s="44">
        <v>25.42</v>
      </c>
      <c r="G125" s="46">
        <f t="shared" si="5"/>
        <v>1474.3600000000001</v>
      </c>
      <c r="H125" s="295"/>
    </row>
    <row r="126" spans="1:8" ht="12.75" customHeight="1">
      <c r="A126" s="47" t="s">
        <v>133</v>
      </c>
      <c r="B126" s="42" t="s">
        <v>422</v>
      </c>
      <c r="C126" s="26" t="s">
        <v>423</v>
      </c>
      <c r="D126" s="331">
        <f>2*1.5</f>
        <v>3</v>
      </c>
      <c r="E126" s="45" t="s">
        <v>38</v>
      </c>
      <c r="F126" s="44">
        <v>24.41</v>
      </c>
      <c r="G126" s="46">
        <f t="shared" si="5"/>
        <v>73.23</v>
      </c>
      <c r="H126" s="295"/>
    </row>
    <row r="127" spans="1:8" ht="12.75" customHeight="1">
      <c r="A127" s="47" t="s">
        <v>134</v>
      </c>
      <c r="B127" s="42" t="s">
        <v>135</v>
      </c>
      <c r="C127" s="26">
        <v>72339</v>
      </c>
      <c r="D127" s="331">
        <v>12</v>
      </c>
      <c r="E127" s="45" t="s">
        <v>38</v>
      </c>
      <c r="F127" s="44">
        <v>38.49</v>
      </c>
      <c r="G127" s="46">
        <f t="shared" si="5"/>
        <v>461.88</v>
      </c>
      <c r="H127" s="295"/>
    </row>
    <row r="128" spans="1:8" ht="12.75" customHeight="1">
      <c r="A128" s="47" t="s">
        <v>136</v>
      </c>
      <c r="B128" s="42" t="s">
        <v>137</v>
      </c>
      <c r="C128" s="284" t="s">
        <v>222</v>
      </c>
      <c r="D128" s="331">
        <v>12</v>
      </c>
      <c r="E128" s="45" t="s">
        <v>38</v>
      </c>
      <c r="F128" s="44">
        <v>16.34</v>
      </c>
      <c r="G128" s="46">
        <f t="shared" si="5"/>
        <v>196.07999999999998</v>
      </c>
      <c r="H128" s="295"/>
    </row>
    <row r="129" spans="1:8" ht="12.75" customHeight="1">
      <c r="A129" s="47" t="s">
        <v>138</v>
      </c>
      <c r="B129" s="42" t="s">
        <v>139</v>
      </c>
      <c r="C129" s="26">
        <v>72337</v>
      </c>
      <c r="D129" s="331">
        <v>12</v>
      </c>
      <c r="E129" s="45" t="s">
        <v>38</v>
      </c>
      <c r="F129" s="44">
        <v>20.78</v>
      </c>
      <c r="G129" s="16">
        <f t="shared" si="5"/>
        <v>249.36</v>
      </c>
      <c r="H129" s="295"/>
    </row>
    <row r="130" spans="1:8" ht="12.75" customHeight="1">
      <c r="A130" s="47" t="s">
        <v>140</v>
      </c>
      <c r="B130" s="42" t="s">
        <v>141</v>
      </c>
      <c r="C130" s="43" t="s">
        <v>142</v>
      </c>
      <c r="D130" s="44">
        <v>42</v>
      </c>
      <c r="E130" s="45" t="s">
        <v>38</v>
      </c>
      <c r="F130" s="44">
        <v>90.8</v>
      </c>
      <c r="G130" s="16">
        <f t="shared" si="5"/>
        <v>3813.6</v>
      </c>
      <c r="H130" s="208" t="s">
        <v>308</v>
      </c>
    </row>
    <row r="131" spans="1:8" ht="12.75" customHeight="1">
      <c r="A131" s="47" t="s">
        <v>143</v>
      </c>
      <c r="B131" s="42" t="s">
        <v>329</v>
      </c>
      <c r="C131" s="43" t="s">
        <v>330</v>
      </c>
      <c r="D131" s="44">
        <v>12</v>
      </c>
      <c r="E131" s="45" t="s">
        <v>38</v>
      </c>
      <c r="F131" s="44">
        <v>52.72</v>
      </c>
      <c r="G131" s="46">
        <f t="shared" si="5"/>
        <v>632.64</v>
      </c>
      <c r="H131" s="208" t="s">
        <v>310</v>
      </c>
    </row>
    <row r="132" spans="1:8" ht="12.75" customHeight="1">
      <c r="A132" s="47" t="s">
        <v>144</v>
      </c>
      <c r="B132" s="42" t="s">
        <v>331</v>
      </c>
      <c r="C132" s="43" t="s">
        <v>145</v>
      </c>
      <c r="D132" s="44">
        <v>9</v>
      </c>
      <c r="E132" s="45" t="s">
        <v>38</v>
      </c>
      <c r="F132" s="44">
        <v>26.72</v>
      </c>
      <c r="G132" s="46">
        <f t="shared" si="5"/>
        <v>240.48</v>
      </c>
      <c r="H132" s="208" t="s">
        <v>310</v>
      </c>
    </row>
    <row r="133" spans="1:8" ht="12.75" customHeight="1">
      <c r="A133" s="47" t="s">
        <v>146</v>
      </c>
      <c r="B133" s="42" t="s">
        <v>147</v>
      </c>
      <c r="C133" s="280" t="s">
        <v>416</v>
      </c>
      <c r="D133" s="331">
        <v>28</v>
      </c>
      <c r="E133" s="45" t="s">
        <v>38</v>
      </c>
      <c r="F133" s="44">
        <v>15.52</v>
      </c>
      <c r="G133" s="16">
        <f t="shared" si="5"/>
        <v>434.56</v>
      </c>
      <c r="H133" s="295" t="s">
        <v>248</v>
      </c>
    </row>
    <row r="134" spans="1:8" ht="12.75" customHeight="1">
      <c r="A134" s="47" t="s">
        <v>148</v>
      </c>
      <c r="B134" s="42" t="s">
        <v>151</v>
      </c>
      <c r="C134" s="280" t="s">
        <v>417</v>
      </c>
      <c r="D134" s="331">
        <v>3</v>
      </c>
      <c r="E134" s="45" t="s">
        <v>38</v>
      </c>
      <c r="F134" s="44">
        <v>29.49</v>
      </c>
      <c r="G134" s="46">
        <f t="shared" si="5"/>
        <v>88.47</v>
      </c>
      <c r="H134" s="295" t="s">
        <v>309</v>
      </c>
    </row>
    <row r="135" spans="1:8" ht="12.75" customHeight="1">
      <c r="A135" s="47" t="s">
        <v>149</v>
      </c>
      <c r="B135" s="42" t="s">
        <v>153</v>
      </c>
      <c r="C135" s="43" t="s">
        <v>231</v>
      </c>
      <c r="D135" s="331">
        <v>1</v>
      </c>
      <c r="E135" s="45" t="s">
        <v>38</v>
      </c>
      <c r="F135" s="44">
        <v>205.41</v>
      </c>
      <c r="G135" s="46">
        <f t="shared" si="5"/>
        <v>205.41</v>
      </c>
      <c r="H135" s="295" t="s">
        <v>369</v>
      </c>
    </row>
    <row r="136" spans="1:8" ht="12.75" customHeight="1">
      <c r="A136" s="47" t="s">
        <v>150</v>
      </c>
      <c r="B136" s="42" t="s">
        <v>332</v>
      </c>
      <c r="C136" s="43" t="s">
        <v>155</v>
      </c>
      <c r="D136" s="331">
        <v>1</v>
      </c>
      <c r="E136" s="45" t="s">
        <v>38</v>
      </c>
      <c r="F136" s="44">
        <v>500.63</v>
      </c>
      <c r="G136" s="16">
        <f t="shared" si="5"/>
        <v>500.63</v>
      </c>
      <c r="H136" s="295"/>
    </row>
    <row r="137" spans="1:8" ht="12.75" customHeight="1">
      <c r="A137" s="47" t="s">
        <v>152</v>
      </c>
      <c r="B137" s="42" t="s">
        <v>157</v>
      </c>
      <c r="C137" s="43" t="s">
        <v>158</v>
      </c>
      <c r="D137" s="331">
        <v>10</v>
      </c>
      <c r="E137" s="45" t="s">
        <v>38</v>
      </c>
      <c r="F137" s="44">
        <v>10.65</v>
      </c>
      <c r="G137" s="16">
        <f t="shared" si="5"/>
        <v>106.5</v>
      </c>
      <c r="H137" s="295"/>
    </row>
    <row r="138" spans="1:8" ht="12.75" customHeight="1">
      <c r="A138" s="47" t="s">
        <v>154</v>
      </c>
      <c r="B138" s="42" t="s">
        <v>159</v>
      </c>
      <c r="C138" s="43" t="s">
        <v>160</v>
      </c>
      <c r="D138" s="331">
        <v>14</v>
      </c>
      <c r="E138" s="45" t="s">
        <v>38</v>
      </c>
      <c r="F138" s="44">
        <v>47.58</v>
      </c>
      <c r="G138" s="16">
        <f t="shared" si="5"/>
        <v>666.12</v>
      </c>
      <c r="H138" s="295"/>
    </row>
    <row r="139" spans="1:8" ht="12.75" customHeight="1" thickBot="1">
      <c r="A139" s="47" t="s">
        <v>156</v>
      </c>
      <c r="B139" s="42" t="s">
        <v>161</v>
      </c>
      <c r="C139" s="43" t="s">
        <v>162</v>
      </c>
      <c r="D139" s="331">
        <v>4</v>
      </c>
      <c r="E139" s="45" t="s">
        <v>38</v>
      </c>
      <c r="F139" s="44">
        <v>91.87</v>
      </c>
      <c r="G139" s="16">
        <f t="shared" si="5"/>
        <v>367.48</v>
      </c>
      <c r="H139" s="295"/>
    </row>
    <row r="140" spans="1:8" ht="15" customHeight="1" thickBot="1" thickTop="1">
      <c r="A140" s="35"/>
      <c r="B140" s="36" t="s">
        <v>191</v>
      </c>
      <c r="C140" s="37"/>
      <c r="D140" s="40"/>
      <c r="E140" s="39"/>
      <c r="F140" s="40"/>
      <c r="G140" s="24">
        <f>SUM(G99:G139)</f>
        <v>22376.510000000002</v>
      </c>
      <c r="H140" s="142"/>
    </row>
    <row r="141" spans="1:8" ht="15" customHeight="1" thickTop="1">
      <c r="A141" s="197">
        <v>11</v>
      </c>
      <c r="B141" s="198" t="s">
        <v>210</v>
      </c>
      <c r="C141" s="199"/>
      <c r="D141" s="200"/>
      <c r="E141" s="201"/>
      <c r="F141" s="200"/>
      <c r="G141" s="202"/>
      <c r="H141" s="143"/>
    </row>
    <row r="142" spans="1:8" ht="15" customHeight="1">
      <c r="A142" s="64" t="s">
        <v>163</v>
      </c>
      <c r="B142" s="88" t="s">
        <v>211</v>
      </c>
      <c r="C142" s="87"/>
      <c r="D142" s="68"/>
      <c r="E142" s="67"/>
      <c r="F142" s="68"/>
      <c r="G142" s="69"/>
      <c r="H142" s="196"/>
    </row>
    <row r="143" spans="1:8" ht="12.75" customHeight="1">
      <c r="A143" s="388" t="s">
        <v>256</v>
      </c>
      <c r="B143" s="285" t="s">
        <v>383</v>
      </c>
      <c r="C143" s="363" t="s">
        <v>325</v>
      </c>
      <c r="D143" s="365">
        <v>1</v>
      </c>
      <c r="E143" s="367" t="s">
        <v>79</v>
      </c>
      <c r="F143" s="372">
        <v>6220.55</v>
      </c>
      <c r="G143" s="370">
        <f>D143*F143</f>
        <v>6220.55</v>
      </c>
      <c r="H143" s="208" t="s">
        <v>308</v>
      </c>
    </row>
    <row r="144" spans="1:8" ht="12.75" customHeight="1">
      <c r="A144" s="389"/>
      <c r="B144" s="286" t="s">
        <v>382</v>
      </c>
      <c r="C144" s="364"/>
      <c r="D144" s="366"/>
      <c r="E144" s="364"/>
      <c r="F144" s="373"/>
      <c r="G144" s="371"/>
      <c r="H144" s="208"/>
    </row>
    <row r="145" spans="1:8" ht="12.75" customHeight="1">
      <c r="A145" s="337" t="s">
        <v>257</v>
      </c>
      <c r="B145" s="287" t="s">
        <v>354</v>
      </c>
      <c r="C145" s="288" t="s">
        <v>353</v>
      </c>
      <c r="D145" s="289">
        <v>2</v>
      </c>
      <c r="E145" s="290" t="s">
        <v>79</v>
      </c>
      <c r="F145" s="338">
        <v>645.53</v>
      </c>
      <c r="G145" s="291">
        <f>D145*F145</f>
        <v>1291.06</v>
      </c>
      <c r="H145" s="209" t="s">
        <v>310</v>
      </c>
    </row>
    <row r="146" spans="1:8" ht="12.75" customHeight="1">
      <c r="A146" s="339" t="s">
        <v>258</v>
      </c>
      <c r="B146" s="42" t="s">
        <v>164</v>
      </c>
      <c r="C146" s="26">
        <v>89450</v>
      </c>
      <c r="D146" s="48">
        <v>40</v>
      </c>
      <c r="E146" s="45" t="s">
        <v>20</v>
      </c>
      <c r="F146" s="44">
        <v>18.93</v>
      </c>
      <c r="G146" s="46">
        <f>D146*F146</f>
        <v>757.2</v>
      </c>
      <c r="H146" s="295"/>
    </row>
    <row r="147" spans="1:8" ht="12.75" customHeight="1">
      <c r="A147" s="339" t="s">
        <v>259</v>
      </c>
      <c r="B147" s="42" t="s">
        <v>166</v>
      </c>
      <c r="C147" s="26">
        <v>89402</v>
      </c>
      <c r="D147" s="48">
        <v>115</v>
      </c>
      <c r="E147" s="45" t="s">
        <v>20</v>
      </c>
      <c r="F147" s="44">
        <v>6.97</v>
      </c>
      <c r="G147" s="46">
        <f aca="true" t="shared" si="6" ref="G147:G157">D147*F147</f>
        <v>801.55</v>
      </c>
      <c r="H147" s="295"/>
    </row>
    <row r="148" spans="1:8" ht="12.75" customHeight="1">
      <c r="A148" s="339" t="s">
        <v>260</v>
      </c>
      <c r="B148" s="42" t="s">
        <v>168</v>
      </c>
      <c r="C148" s="26" t="s">
        <v>169</v>
      </c>
      <c r="D148" s="332">
        <v>2</v>
      </c>
      <c r="E148" s="45" t="s">
        <v>38</v>
      </c>
      <c r="F148" s="44">
        <v>60.29</v>
      </c>
      <c r="G148" s="46">
        <f t="shared" si="6"/>
        <v>120.58</v>
      </c>
      <c r="H148" s="295"/>
    </row>
    <row r="149" spans="1:8" ht="12.75" customHeight="1">
      <c r="A149" s="339" t="s">
        <v>261</v>
      </c>
      <c r="B149" s="42" t="s">
        <v>223</v>
      </c>
      <c r="C149" s="26">
        <v>89987</v>
      </c>
      <c r="D149" s="332">
        <v>22</v>
      </c>
      <c r="E149" s="45" t="s">
        <v>38</v>
      </c>
      <c r="F149" s="44">
        <v>70.21</v>
      </c>
      <c r="G149" s="46">
        <f t="shared" si="6"/>
        <v>1544.62</v>
      </c>
      <c r="H149" s="295"/>
    </row>
    <row r="150" spans="1:8" ht="12.75" customHeight="1">
      <c r="A150" s="339" t="s">
        <v>262</v>
      </c>
      <c r="B150" s="42" t="s">
        <v>224</v>
      </c>
      <c r="C150" s="26" t="s">
        <v>170</v>
      </c>
      <c r="D150" s="332">
        <v>2</v>
      </c>
      <c r="E150" s="45" t="s">
        <v>38</v>
      </c>
      <c r="F150" s="44">
        <v>124.54</v>
      </c>
      <c r="G150" s="46">
        <f t="shared" si="6"/>
        <v>249.08</v>
      </c>
      <c r="H150" s="295"/>
    </row>
    <row r="151" spans="1:8" ht="12.75" customHeight="1">
      <c r="A151" s="339" t="s">
        <v>263</v>
      </c>
      <c r="B151" s="42" t="s">
        <v>174</v>
      </c>
      <c r="C151" s="26" t="s">
        <v>225</v>
      </c>
      <c r="D151" s="332">
        <v>2</v>
      </c>
      <c r="E151" s="45" t="s">
        <v>38</v>
      </c>
      <c r="F151" s="44">
        <v>191.84</v>
      </c>
      <c r="G151" s="46">
        <f t="shared" si="6"/>
        <v>383.68</v>
      </c>
      <c r="H151" s="295"/>
    </row>
    <row r="152" spans="1:8" ht="12.75" customHeight="1">
      <c r="A152" s="339" t="s">
        <v>264</v>
      </c>
      <c r="B152" s="42" t="s">
        <v>175</v>
      </c>
      <c r="C152" s="26" t="s">
        <v>176</v>
      </c>
      <c r="D152" s="332">
        <v>16</v>
      </c>
      <c r="E152" s="45" t="s">
        <v>38</v>
      </c>
      <c r="F152" s="44">
        <v>125.1</v>
      </c>
      <c r="G152" s="46">
        <f t="shared" si="6"/>
        <v>2001.6</v>
      </c>
      <c r="H152" s="295"/>
    </row>
    <row r="153" spans="1:8" ht="12.75" customHeight="1">
      <c r="A153" s="339" t="s">
        <v>265</v>
      </c>
      <c r="B153" s="42" t="s">
        <v>177</v>
      </c>
      <c r="C153" s="26">
        <v>89714</v>
      </c>
      <c r="D153" s="332">
        <v>85</v>
      </c>
      <c r="E153" s="45" t="s">
        <v>20</v>
      </c>
      <c r="F153" s="44">
        <v>40.18</v>
      </c>
      <c r="G153" s="46">
        <f t="shared" si="6"/>
        <v>3415.3</v>
      </c>
      <c r="H153" s="295"/>
    </row>
    <row r="154" spans="1:8" ht="12.75" customHeight="1">
      <c r="A154" s="339" t="s">
        <v>266</v>
      </c>
      <c r="B154" s="42" t="s">
        <v>178</v>
      </c>
      <c r="C154" s="26">
        <v>89713</v>
      </c>
      <c r="D154" s="48">
        <v>55</v>
      </c>
      <c r="E154" s="45" t="s">
        <v>20</v>
      </c>
      <c r="F154" s="44">
        <v>31.39</v>
      </c>
      <c r="G154" s="46">
        <f t="shared" si="6"/>
        <v>1726.45</v>
      </c>
      <c r="H154" s="295"/>
    </row>
    <row r="155" spans="1:8" ht="12.75" customHeight="1">
      <c r="A155" s="339" t="s">
        <v>267</v>
      </c>
      <c r="B155" s="42" t="s">
        <v>179</v>
      </c>
      <c r="C155" s="26">
        <v>89712</v>
      </c>
      <c r="D155" s="48">
        <v>56</v>
      </c>
      <c r="E155" s="45" t="s">
        <v>20</v>
      </c>
      <c r="F155" s="44">
        <v>21.3</v>
      </c>
      <c r="G155" s="46">
        <f t="shared" si="6"/>
        <v>1192.8</v>
      </c>
      <c r="H155" s="295"/>
    </row>
    <row r="156" spans="1:8" ht="12.75" customHeight="1">
      <c r="A156" s="339" t="s">
        <v>268</v>
      </c>
      <c r="B156" s="42" t="s">
        <v>180</v>
      </c>
      <c r="C156" s="26">
        <v>89711</v>
      </c>
      <c r="D156" s="48">
        <v>57</v>
      </c>
      <c r="E156" s="45" t="s">
        <v>20</v>
      </c>
      <c r="F156" s="44">
        <v>14.66</v>
      </c>
      <c r="G156" s="46">
        <f t="shared" si="6"/>
        <v>835.62</v>
      </c>
      <c r="H156" s="295"/>
    </row>
    <row r="157" spans="1:8" ht="12.75" customHeight="1">
      <c r="A157" s="339" t="s">
        <v>269</v>
      </c>
      <c r="B157" s="42" t="s">
        <v>181</v>
      </c>
      <c r="C157" s="26">
        <v>89708</v>
      </c>
      <c r="D157" s="332">
        <v>16</v>
      </c>
      <c r="E157" s="45" t="s">
        <v>38</v>
      </c>
      <c r="F157" s="44">
        <v>47.44</v>
      </c>
      <c r="G157" s="46">
        <f t="shared" si="6"/>
        <v>759.04</v>
      </c>
      <c r="H157" s="295"/>
    </row>
    <row r="158" spans="1:8" ht="15" customHeight="1">
      <c r="A158" s="64" t="s">
        <v>165</v>
      </c>
      <c r="B158" s="88" t="s">
        <v>311</v>
      </c>
      <c r="C158" s="87"/>
      <c r="D158" s="68"/>
      <c r="E158" s="67"/>
      <c r="F158" s="68"/>
      <c r="G158" s="69"/>
      <c r="H158" s="141"/>
    </row>
    <row r="159" spans="1:8" ht="12.75" customHeight="1">
      <c r="A159" s="339" t="s">
        <v>255</v>
      </c>
      <c r="B159" s="42" t="s">
        <v>171</v>
      </c>
      <c r="C159" s="26">
        <v>86872</v>
      </c>
      <c r="D159" s="48">
        <v>1</v>
      </c>
      <c r="E159" s="45" t="s">
        <v>79</v>
      </c>
      <c r="F159" s="44">
        <v>563.42</v>
      </c>
      <c r="G159" s="46">
        <f aca="true" t="shared" si="7" ref="G159:G167">D159*F159</f>
        <v>563.42</v>
      </c>
      <c r="H159" s="208" t="s">
        <v>308</v>
      </c>
    </row>
    <row r="160" spans="1:8" ht="12.75" customHeight="1">
      <c r="A160" s="339" t="s">
        <v>270</v>
      </c>
      <c r="B160" s="42" t="s">
        <v>238</v>
      </c>
      <c r="C160" s="26" t="s">
        <v>172</v>
      </c>
      <c r="D160" s="48">
        <v>2</v>
      </c>
      <c r="E160" s="45" t="s">
        <v>79</v>
      </c>
      <c r="F160" s="44">
        <v>428.72</v>
      </c>
      <c r="G160" s="46">
        <f t="shared" si="7"/>
        <v>857.44</v>
      </c>
      <c r="H160" s="209" t="s">
        <v>310</v>
      </c>
    </row>
    <row r="161" spans="1:8" ht="12.75" customHeight="1">
      <c r="A161" s="339" t="s">
        <v>271</v>
      </c>
      <c r="B161" s="42" t="s">
        <v>240</v>
      </c>
      <c r="C161" s="284" t="s">
        <v>375</v>
      </c>
      <c r="D161" s="48">
        <v>2</v>
      </c>
      <c r="E161" s="45" t="s">
        <v>38</v>
      </c>
      <c r="F161" s="44">
        <v>25.14</v>
      </c>
      <c r="G161" s="46">
        <f t="shared" si="7"/>
        <v>50.28</v>
      </c>
      <c r="H161" s="209" t="s">
        <v>310</v>
      </c>
    </row>
    <row r="162" spans="1:8" ht="12.75" customHeight="1">
      <c r="A162" s="339" t="s">
        <v>272</v>
      </c>
      <c r="B162" s="49" t="s">
        <v>173</v>
      </c>
      <c r="C162" s="29">
        <v>9535</v>
      </c>
      <c r="D162" s="120">
        <v>3</v>
      </c>
      <c r="E162" s="121" t="s">
        <v>79</v>
      </c>
      <c r="F162" s="203">
        <v>57.26</v>
      </c>
      <c r="G162" s="210">
        <f t="shared" si="7"/>
        <v>171.78</v>
      </c>
      <c r="H162" s="209" t="s">
        <v>310</v>
      </c>
    </row>
    <row r="163" spans="1:8" ht="12.75" customHeight="1">
      <c r="A163" s="339" t="s">
        <v>273</v>
      </c>
      <c r="B163" s="42" t="s">
        <v>348</v>
      </c>
      <c r="C163" s="29">
        <v>86943</v>
      </c>
      <c r="D163" s="48">
        <v>13</v>
      </c>
      <c r="E163" s="45" t="s">
        <v>38</v>
      </c>
      <c r="F163" s="44">
        <v>147.02</v>
      </c>
      <c r="G163" s="46">
        <f t="shared" si="7"/>
        <v>1911.2600000000002</v>
      </c>
      <c r="H163" s="209" t="s">
        <v>310</v>
      </c>
    </row>
    <row r="164" spans="1:8" ht="12.75" customHeight="1">
      <c r="A164" s="339" t="s">
        <v>274</v>
      </c>
      <c r="B164" s="42" t="s">
        <v>312</v>
      </c>
      <c r="C164" s="284" t="s">
        <v>313</v>
      </c>
      <c r="D164" s="48">
        <v>13</v>
      </c>
      <c r="E164" s="45" t="s">
        <v>38</v>
      </c>
      <c r="F164" s="44">
        <v>180.08</v>
      </c>
      <c r="G164" s="46">
        <f t="shared" si="7"/>
        <v>2341.04</v>
      </c>
      <c r="H164" s="209" t="s">
        <v>310</v>
      </c>
    </row>
    <row r="165" spans="1:8" ht="12.75" customHeight="1">
      <c r="A165" s="339" t="s">
        <v>314</v>
      </c>
      <c r="B165" s="42" t="s">
        <v>334</v>
      </c>
      <c r="C165" s="284" t="s">
        <v>335</v>
      </c>
      <c r="D165" s="48">
        <v>9.55</v>
      </c>
      <c r="E165" s="45" t="s">
        <v>12</v>
      </c>
      <c r="F165" s="44">
        <v>470.85</v>
      </c>
      <c r="G165" s="46">
        <f t="shared" si="7"/>
        <v>4496.6175</v>
      </c>
      <c r="H165" s="209" t="s">
        <v>310</v>
      </c>
    </row>
    <row r="166" spans="1:8" ht="12.75" customHeight="1">
      <c r="A166" s="339" t="s">
        <v>315</v>
      </c>
      <c r="B166" s="42" t="s">
        <v>349</v>
      </c>
      <c r="C166" s="26">
        <v>86935</v>
      </c>
      <c r="D166" s="48">
        <v>7</v>
      </c>
      <c r="E166" s="45" t="s">
        <v>79</v>
      </c>
      <c r="F166" s="44">
        <v>155.34</v>
      </c>
      <c r="G166" s="46">
        <f t="shared" si="7"/>
        <v>1087.38</v>
      </c>
      <c r="H166" s="209" t="s">
        <v>310</v>
      </c>
    </row>
    <row r="167" spans="1:8" ht="12.75" customHeight="1">
      <c r="A167" s="339" t="s">
        <v>316</v>
      </c>
      <c r="B167" s="42" t="s">
        <v>317</v>
      </c>
      <c r="C167" s="292" t="s">
        <v>318</v>
      </c>
      <c r="D167" s="48">
        <v>7</v>
      </c>
      <c r="E167" s="45" t="s">
        <v>38</v>
      </c>
      <c r="F167" s="44">
        <v>239.48</v>
      </c>
      <c r="G167" s="46">
        <f t="shared" si="7"/>
        <v>1676.36</v>
      </c>
      <c r="H167" s="209" t="s">
        <v>310</v>
      </c>
    </row>
    <row r="168" spans="1:8" ht="15" customHeight="1">
      <c r="A168" s="64" t="s">
        <v>167</v>
      </c>
      <c r="B168" s="65" t="s">
        <v>254</v>
      </c>
      <c r="C168" s="87"/>
      <c r="D168" s="68"/>
      <c r="E168" s="67"/>
      <c r="F168" s="68"/>
      <c r="G168" s="69"/>
      <c r="H168" s="144"/>
    </row>
    <row r="169" spans="1:8" ht="12.75" customHeight="1">
      <c r="A169" s="339" t="s">
        <v>319</v>
      </c>
      <c r="B169" s="42" t="s">
        <v>239</v>
      </c>
      <c r="C169" s="293" t="s">
        <v>355</v>
      </c>
      <c r="D169" s="48">
        <v>4</v>
      </c>
      <c r="E169" s="45" t="s">
        <v>79</v>
      </c>
      <c r="F169" s="44">
        <v>686.63</v>
      </c>
      <c r="G169" s="46">
        <f aca="true" t="shared" si="8" ref="G169:G174">D169*F169</f>
        <v>2746.52</v>
      </c>
      <c r="H169" s="144"/>
    </row>
    <row r="170" spans="1:8" ht="12.75" customHeight="1">
      <c r="A170" s="339" t="s">
        <v>320</v>
      </c>
      <c r="B170" s="42" t="s">
        <v>241</v>
      </c>
      <c r="C170" s="284" t="s">
        <v>333</v>
      </c>
      <c r="D170" s="48">
        <v>4</v>
      </c>
      <c r="E170" s="45" t="s">
        <v>38</v>
      </c>
      <c r="F170" s="44">
        <v>616.62</v>
      </c>
      <c r="G170" s="46">
        <f t="shared" si="8"/>
        <v>2466.48</v>
      </c>
      <c r="H170" s="144"/>
    </row>
    <row r="171" spans="1:8" ht="12.75" customHeight="1">
      <c r="A171" s="339" t="s">
        <v>321</v>
      </c>
      <c r="B171" s="206" t="s">
        <v>379</v>
      </c>
      <c r="C171" s="284" t="s">
        <v>275</v>
      </c>
      <c r="D171" s="48">
        <v>4</v>
      </c>
      <c r="E171" s="45" t="s">
        <v>38</v>
      </c>
      <c r="F171" s="44">
        <v>134.49</v>
      </c>
      <c r="G171" s="46">
        <f t="shared" si="8"/>
        <v>537.96</v>
      </c>
      <c r="H171" s="144"/>
    </row>
    <row r="172" spans="1:8" ht="12.75" customHeight="1">
      <c r="A172" s="339" t="s">
        <v>322</v>
      </c>
      <c r="B172" s="206" t="s">
        <v>424</v>
      </c>
      <c r="C172" s="284" t="s">
        <v>276</v>
      </c>
      <c r="D172" s="48">
        <v>1</v>
      </c>
      <c r="E172" s="45" t="s">
        <v>38</v>
      </c>
      <c r="F172" s="44">
        <v>252.22</v>
      </c>
      <c r="G172" s="46">
        <f t="shared" si="8"/>
        <v>252.22</v>
      </c>
      <c r="H172" s="144"/>
    </row>
    <row r="173" spans="1:8" ht="12.75" customHeight="1">
      <c r="A173" s="339" t="s">
        <v>323</v>
      </c>
      <c r="B173" s="206" t="s">
        <v>380</v>
      </c>
      <c r="C173" s="284" t="s">
        <v>277</v>
      </c>
      <c r="D173" s="48">
        <v>4</v>
      </c>
      <c r="E173" s="45" t="s">
        <v>38</v>
      </c>
      <c r="F173" s="44">
        <v>377.49</v>
      </c>
      <c r="G173" s="46">
        <f t="shared" si="8"/>
        <v>1509.96</v>
      </c>
      <c r="H173" s="144"/>
    </row>
    <row r="174" spans="1:8" ht="12.75" customHeight="1" thickBot="1">
      <c r="A174" s="339" t="s">
        <v>324</v>
      </c>
      <c r="B174" s="207" t="s">
        <v>381</v>
      </c>
      <c r="C174" s="284" t="s">
        <v>278</v>
      </c>
      <c r="D174" s="120">
        <v>4</v>
      </c>
      <c r="E174" s="45" t="s">
        <v>38</v>
      </c>
      <c r="F174" s="203">
        <v>123.37</v>
      </c>
      <c r="G174" s="46">
        <f t="shared" si="8"/>
        <v>493.48</v>
      </c>
      <c r="H174" s="144"/>
    </row>
    <row r="175" spans="1:8" ht="15" customHeight="1" thickBot="1" thickTop="1">
      <c r="A175" s="35"/>
      <c r="B175" s="36" t="s">
        <v>191</v>
      </c>
      <c r="C175" s="50"/>
      <c r="D175" s="40"/>
      <c r="E175" s="39"/>
      <c r="F175" s="40"/>
      <c r="G175" s="24">
        <f>SUM(G143:G174)</f>
        <v>42461.3275</v>
      </c>
      <c r="H175" s="133"/>
    </row>
    <row r="176" spans="1:8" ht="15" customHeight="1" thickTop="1">
      <c r="A176" s="64">
        <v>12</v>
      </c>
      <c r="B176" s="65" t="s">
        <v>376</v>
      </c>
      <c r="C176" s="87"/>
      <c r="D176" s="68"/>
      <c r="E176" s="67"/>
      <c r="F176" s="68"/>
      <c r="G176" s="69"/>
      <c r="H176" s="133"/>
    </row>
    <row r="177" spans="1:8" ht="12.75" customHeight="1">
      <c r="A177" s="340" t="s">
        <v>214</v>
      </c>
      <c r="B177" s="25" t="s">
        <v>68</v>
      </c>
      <c r="C177" s="27">
        <v>5622</v>
      </c>
      <c r="D177" s="48">
        <v>108.16</v>
      </c>
      <c r="E177" s="14" t="s">
        <v>12</v>
      </c>
      <c r="F177" s="44">
        <v>4.7</v>
      </c>
      <c r="G177" s="16">
        <f>D177*F177</f>
        <v>508.352</v>
      </c>
      <c r="H177" s="133"/>
    </row>
    <row r="178" spans="1:8" ht="12.75" customHeight="1" thickBot="1">
      <c r="A178" s="340" t="s">
        <v>215</v>
      </c>
      <c r="B178" s="25" t="s">
        <v>208</v>
      </c>
      <c r="C178" s="27" t="s">
        <v>229</v>
      </c>
      <c r="D178" s="48">
        <v>108.16</v>
      </c>
      <c r="E178" s="14" t="s">
        <v>12</v>
      </c>
      <c r="F178" s="44">
        <v>27.82</v>
      </c>
      <c r="G178" s="16">
        <f>D178*F178</f>
        <v>3009.0112</v>
      </c>
      <c r="H178" s="133"/>
    </row>
    <row r="179" spans="1:8" ht="12.75" customHeight="1" thickBot="1" thickTop="1">
      <c r="A179" s="35"/>
      <c r="B179" s="36" t="s">
        <v>191</v>
      </c>
      <c r="C179" s="50"/>
      <c r="D179" s="40"/>
      <c r="E179" s="39"/>
      <c r="F179" s="40"/>
      <c r="G179" s="345">
        <f>SUM(G177:G178)</f>
        <v>3517.3632</v>
      </c>
      <c r="H179" s="133"/>
    </row>
    <row r="180" spans="1:8" ht="15" customHeight="1" thickTop="1">
      <c r="A180" s="64">
        <v>13</v>
      </c>
      <c r="B180" s="65" t="s">
        <v>253</v>
      </c>
      <c r="C180" s="87"/>
      <c r="D180" s="68"/>
      <c r="E180" s="67"/>
      <c r="F180" s="68"/>
      <c r="G180" s="69"/>
      <c r="H180" s="133"/>
    </row>
    <row r="181" spans="1:8" ht="12.75" customHeight="1">
      <c r="A181" s="340" t="s">
        <v>435</v>
      </c>
      <c r="B181" s="25" t="s">
        <v>68</v>
      </c>
      <c r="C181" s="27">
        <v>5622</v>
      </c>
      <c r="D181" s="48">
        <v>214.54</v>
      </c>
      <c r="E181" s="14" t="s">
        <v>12</v>
      </c>
      <c r="F181" s="44">
        <v>4.7</v>
      </c>
      <c r="G181" s="16">
        <f>D181*F181</f>
        <v>1008.338</v>
      </c>
      <c r="H181" s="133"/>
    </row>
    <row r="182" spans="1:8" ht="12.75" customHeight="1" thickBot="1">
      <c r="A182" s="340" t="s">
        <v>436</v>
      </c>
      <c r="B182" s="25" t="s">
        <v>425</v>
      </c>
      <c r="C182" s="27">
        <v>85180</v>
      </c>
      <c r="D182" s="48">
        <v>214.54</v>
      </c>
      <c r="E182" s="14" t="s">
        <v>12</v>
      </c>
      <c r="F182" s="15">
        <v>7.37</v>
      </c>
      <c r="G182" s="16">
        <f>D182*F182</f>
        <v>1581.1598</v>
      </c>
      <c r="H182" s="133"/>
    </row>
    <row r="183" spans="1:8" ht="12.75" customHeight="1" thickBot="1" thickTop="1">
      <c r="A183" s="35"/>
      <c r="B183" s="36" t="s">
        <v>191</v>
      </c>
      <c r="C183" s="50"/>
      <c r="D183" s="23"/>
      <c r="E183" s="39"/>
      <c r="F183" s="40"/>
      <c r="G183" s="345">
        <f>SUM(G181:G182)</f>
        <v>2589.4978</v>
      </c>
      <c r="H183" s="133"/>
    </row>
    <row r="184" spans="1:7" ht="6" customHeight="1" thickBot="1" thickTop="1">
      <c r="A184" s="177"/>
      <c r="B184" s="178"/>
      <c r="C184" s="179"/>
      <c r="D184" s="180"/>
      <c r="E184" s="177"/>
      <c r="F184" s="180"/>
      <c r="G184" s="181"/>
    </row>
    <row r="185" spans="1:8" ht="19.5" customHeight="1" thickBot="1" thickTop="1">
      <c r="A185" s="303"/>
      <c r="B185" s="307" t="s">
        <v>378</v>
      </c>
      <c r="C185" s="312"/>
      <c r="D185" s="310"/>
      <c r="E185" s="313"/>
      <c r="F185" s="310"/>
      <c r="G185" s="304">
        <f>SUM(G183,G179,G175,G140,G96,G89,G83,G75,G66,G57,G36,G29,G21)</f>
        <v>369188.08479999995</v>
      </c>
      <c r="H185" s="51"/>
    </row>
    <row r="186" spans="1:8" ht="15" customHeight="1" thickBot="1" thickTop="1">
      <c r="A186" s="301"/>
      <c r="B186" s="308" t="s">
        <v>437</v>
      </c>
      <c r="C186" s="178"/>
      <c r="D186" s="181"/>
      <c r="E186" s="314"/>
      <c r="F186" s="181"/>
      <c r="G186" s="302">
        <f>G185*0.1770496</f>
        <v>65364.602738606074</v>
      </c>
      <c r="H186" s="57"/>
    </row>
    <row r="187" spans="1:9" ht="24.75" customHeight="1" thickBot="1" thickTop="1">
      <c r="A187" s="305"/>
      <c r="B187" s="309" t="s">
        <v>377</v>
      </c>
      <c r="C187" s="315"/>
      <c r="D187" s="311"/>
      <c r="E187" s="316"/>
      <c r="F187" s="311"/>
      <c r="G187" s="306">
        <f>SUM(G185:G186)</f>
        <v>434552.687538606</v>
      </c>
      <c r="H187" s="57">
        <f>305.99+19.8</f>
        <v>325.79</v>
      </c>
      <c r="I187" s="317">
        <f>G187/H187</f>
        <v>1333.8429280782282</v>
      </c>
    </row>
    <row r="188" spans="1:8" ht="19.5" customHeight="1" thickTop="1">
      <c r="A188" s="58"/>
      <c r="B188" s="52"/>
      <c r="C188" s="53"/>
      <c r="D188" s="54"/>
      <c r="E188" s="55"/>
      <c r="F188" s="54"/>
      <c r="G188" s="56"/>
      <c r="H188" s="57"/>
    </row>
    <row r="189" spans="1:8" ht="9" customHeight="1">
      <c r="A189" s="58"/>
      <c r="B189" s="52"/>
      <c r="C189" s="53"/>
      <c r="D189" s="54"/>
      <c r="E189" s="55"/>
      <c r="F189" s="54"/>
      <c r="G189" s="56"/>
      <c r="H189" s="57"/>
    </row>
    <row r="190" spans="1:8" ht="9" customHeight="1">
      <c r="A190" s="58"/>
      <c r="B190" s="52"/>
      <c r="C190" s="53"/>
      <c r="D190" s="54"/>
      <c r="E190" s="55"/>
      <c r="F190" s="54"/>
      <c r="G190" s="56"/>
      <c r="H190" s="57"/>
    </row>
    <row r="191" spans="4:7" ht="13.5" thickBot="1">
      <c r="D191" s="59"/>
      <c r="E191" s="59"/>
      <c r="F191" s="59"/>
      <c r="G191" s="59"/>
    </row>
    <row r="192" spans="2:6" ht="12.75">
      <c r="B192" s="175" t="s">
        <v>226</v>
      </c>
      <c r="C192" s="60"/>
      <c r="D192" s="61" t="s">
        <v>350</v>
      </c>
      <c r="E192" s="61"/>
      <c r="F192" s="61"/>
    </row>
    <row r="193" spans="2:6" ht="12.75">
      <c r="B193" s="176" t="s">
        <v>182</v>
      </c>
      <c r="C193" s="60"/>
      <c r="D193" s="3" t="s">
        <v>351</v>
      </c>
      <c r="E193" s="61"/>
      <c r="F193" s="61"/>
    </row>
    <row r="194" spans="2:6" ht="12.75">
      <c r="B194" s="176" t="s">
        <v>327</v>
      </c>
      <c r="C194" s="62"/>
      <c r="D194" s="3" t="s">
        <v>328</v>
      </c>
      <c r="E194" s="61"/>
      <c r="F194" s="61"/>
    </row>
    <row r="197" ht="24.75" customHeight="1">
      <c r="D197" s="294"/>
    </row>
    <row r="198" spans="1:5" ht="12.75">
      <c r="A198" s="134"/>
      <c r="B198" s="134"/>
      <c r="C198" s="63"/>
      <c r="D198" s="63"/>
      <c r="E198" s="63"/>
    </row>
    <row r="199" spans="1:5" ht="25.5">
      <c r="A199" s="63"/>
      <c r="B199" s="63"/>
      <c r="C199" s="63"/>
      <c r="D199" s="294"/>
      <c r="E199" s="63"/>
    </row>
    <row r="200" spans="1:5" ht="12.75">
      <c r="A200" s="63"/>
      <c r="B200" s="63"/>
      <c r="C200" s="63"/>
      <c r="D200" s="63"/>
      <c r="E200" s="63"/>
    </row>
    <row r="201" spans="1:5" ht="12.75">
      <c r="A201" s="63"/>
      <c r="B201" s="63"/>
      <c r="C201" s="63"/>
      <c r="D201" s="63"/>
      <c r="E201" s="63"/>
    </row>
  </sheetData>
  <sheetProtection/>
  <mergeCells count="28">
    <mergeCell ref="A64:A65"/>
    <mergeCell ref="F64:F65"/>
    <mergeCell ref="A143:A144"/>
    <mergeCell ref="F12:G12"/>
    <mergeCell ref="A9:F9"/>
    <mergeCell ref="A10:F10"/>
    <mergeCell ref="D60:D61"/>
    <mergeCell ref="E60:E61"/>
    <mergeCell ref="F60:F61"/>
    <mergeCell ref="A60:A61"/>
    <mergeCell ref="G60:G61"/>
    <mergeCell ref="F62:F63"/>
    <mergeCell ref="B3:F3"/>
    <mergeCell ref="B4:F4"/>
    <mergeCell ref="A6:G6"/>
    <mergeCell ref="A8:G8"/>
    <mergeCell ref="D62:D63"/>
    <mergeCell ref="E62:E63"/>
    <mergeCell ref="G62:G63"/>
    <mergeCell ref="A62:A63"/>
    <mergeCell ref="C143:C144"/>
    <mergeCell ref="D143:D144"/>
    <mergeCell ref="E143:E144"/>
    <mergeCell ref="D64:D65"/>
    <mergeCell ref="E64:E65"/>
    <mergeCell ref="G143:G144"/>
    <mergeCell ref="F143:F144"/>
    <mergeCell ref="G64:G65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0" r:id="rId2"/>
  <rowBreaks count="2" manualBreakCount="2">
    <brk id="75" max="6" man="1"/>
    <brk id="14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I65338"/>
  <sheetViews>
    <sheetView showGridLines="0" tabSelected="1" zoomScale="69" zoomScaleNormal="69" zoomScalePageLayoutView="0" workbookViewId="0" topLeftCell="B1">
      <selection activeCell="G37" sqref="G37"/>
    </sheetView>
  </sheetViews>
  <sheetFormatPr defaultColWidth="9.140625" defaultRowHeight="12.75"/>
  <cols>
    <col min="1" max="1" width="1.8515625" style="89" hidden="1" customWidth="1"/>
    <col min="2" max="2" width="6.28125" style="89" customWidth="1"/>
    <col min="3" max="3" width="50.7109375" style="89" customWidth="1"/>
    <col min="4" max="4" width="8.7109375" style="89" customWidth="1"/>
    <col min="5" max="5" width="6.57421875" style="89" customWidth="1"/>
    <col min="6" max="6" width="12.7109375" style="89" customWidth="1"/>
    <col min="7" max="12" width="15.7109375" style="89" customWidth="1"/>
    <col min="13" max="13" width="20.7109375" style="89" customWidth="1"/>
    <col min="14" max="14" width="1.421875" style="89" customWidth="1"/>
    <col min="15" max="15" width="11.57421875" style="89" bestFit="1" customWidth="1"/>
    <col min="16" max="16384" width="9.140625" style="89" customWidth="1"/>
  </cols>
  <sheetData>
    <row r="2" ht="13.5" thickBot="1"/>
    <row r="3" spans="2:13" ht="18" customHeight="1" thickTop="1">
      <c r="B3" s="90"/>
      <c r="C3" s="91"/>
      <c r="D3" s="92"/>
      <c r="E3" s="93"/>
      <c r="F3" s="92"/>
      <c r="G3" s="413" t="s">
        <v>199</v>
      </c>
      <c r="H3" s="414"/>
      <c r="I3" s="414"/>
      <c r="J3" s="414"/>
      <c r="K3" s="414"/>
      <c r="L3" s="414"/>
      <c r="M3" s="415"/>
    </row>
    <row r="4" spans="2:13" ht="18" customHeight="1">
      <c r="B4" s="94"/>
      <c r="C4" s="407" t="s">
        <v>0</v>
      </c>
      <c r="D4" s="407"/>
      <c r="E4" s="407"/>
      <c r="F4" s="407"/>
      <c r="G4" s="398" t="s">
        <v>340</v>
      </c>
      <c r="H4" s="399"/>
      <c r="I4" s="399"/>
      <c r="J4" s="399"/>
      <c r="K4" s="399"/>
      <c r="L4" s="399"/>
      <c r="M4" s="96"/>
    </row>
    <row r="5" spans="2:13" ht="18" customHeight="1">
      <c r="B5" s="94"/>
      <c r="C5" s="408" t="s">
        <v>1</v>
      </c>
      <c r="D5" s="408"/>
      <c r="E5" s="408"/>
      <c r="F5" s="408"/>
      <c r="G5" s="398" t="s">
        <v>407</v>
      </c>
      <c r="H5" s="399"/>
      <c r="I5" s="399"/>
      <c r="J5" s="399"/>
      <c r="K5" s="399"/>
      <c r="L5" s="399"/>
      <c r="M5" s="412"/>
    </row>
    <row r="6" spans="2:13" ht="18" customHeight="1" thickBot="1">
      <c r="B6" s="94"/>
      <c r="C6" s="97"/>
      <c r="D6" s="97"/>
      <c r="E6" s="97"/>
      <c r="F6" s="97"/>
      <c r="G6" s="395" t="s">
        <v>408</v>
      </c>
      <c r="H6" s="396"/>
      <c r="I6" s="396"/>
      <c r="J6" s="396"/>
      <c r="K6" s="396"/>
      <c r="L6" s="396"/>
      <c r="M6" s="397"/>
    </row>
    <row r="7" spans="2:19" ht="15" customHeight="1" thickTop="1">
      <c r="B7" s="101" t="s">
        <v>3</v>
      </c>
      <c r="C7" s="102" t="s">
        <v>337</v>
      </c>
      <c r="D7" s="103" t="s">
        <v>6</v>
      </c>
      <c r="E7" s="101" t="s">
        <v>183</v>
      </c>
      <c r="F7" s="103" t="s">
        <v>184</v>
      </c>
      <c r="G7" s="404" t="s">
        <v>185</v>
      </c>
      <c r="H7" s="404"/>
      <c r="I7" s="404"/>
      <c r="J7" s="404"/>
      <c r="K7" s="404"/>
      <c r="L7" s="404"/>
      <c r="M7" s="104" t="s">
        <v>9</v>
      </c>
      <c r="O7" s="394"/>
      <c r="P7" s="394"/>
      <c r="Q7" s="394"/>
      <c r="R7" s="394"/>
      <c r="S7" s="394"/>
    </row>
    <row r="8" spans="2:13" ht="15" customHeight="1" thickBot="1">
      <c r="B8" s="105"/>
      <c r="C8" s="106"/>
      <c r="D8" s="107"/>
      <c r="E8" s="108"/>
      <c r="F8" s="107" t="s">
        <v>186</v>
      </c>
      <c r="G8" s="405" t="s">
        <v>339</v>
      </c>
      <c r="H8" s="405"/>
      <c r="I8" s="405"/>
      <c r="J8" s="405"/>
      <c r="K8" s="405"/>
      <c r="L8" s="405"/>
      <c r="M8" s="109" t="s">
        <v>186</v>
      </c>
    </row>
    <row r="9" spans="2:13" ht="15" customHeight="1" thickTop="1">
      <c r="B9" s="110"/>
      <c r="C9" s="8" t="s">
        <v>187</v>
      </c>
      <c r="D9" s="111"/>
      <c r="E9" s="112"/>
      <c r="F9" s="235"/>
      <c r="G9" s="236" t="s">
        <v>188</v>
      </c>
      <c r="H9" s="113" t="s">
        <v>189</v>
      </c>
      <c r="I9" s="113" t="s">
        <v>190</v>
      </c>
      <c r="J9" s="113" t="s">
        <v>197</v>
      </c>
      <c r="K9" s="113" t="s">
        <v>198</v>
      </c>
      <c r="L9" s="113" t="s">
        <v>338</v>
      </c>
      <c r="M9" s="114"/>
    </row>
    <row r="10" spans="2:14" ht="19.5" customHeight="1">
      <c r="B10" s="244"/>
      <c r="C10" s="245" t="s">
        <v>384</v>
      </c>
      <c r="D10" s="246"/>
      <c r="E10" s="247"/>
      <c r="F10" s="248"/>
      <c r="G10" s="249"/>
      <c r="H10" s="250"/>
      <c r="I10" s="250"/>
      <c r="J10" s="250"/>
      <c r="K10" s="251"/>
      <c r="L10" s="251"/>
      <c r="M10" s="252"/>
      <c r="N10" s="94"/>
    </row>
    <row r="11" spans="2:14" ht="12.75" customHeight="1">
      <c r="B11" s="254">
        <v>1</v>
      </c>
      <c r="C11" s="42" t="s">
        <v>10</v>
      </c>
      <c r="D11" s="48">
        <v>1</v>
      </c>
      <c r="E11" s="45" t="s">
        <v>79</v>
      </c>
      <c r="F11" s="223">
        <f>orçamento!G21</f>
        <v>6509.674800000001</v>
      </c>
      <c r="G11" s="237">
        <f>F11</f>
        <v>6509.674800000001</v>
      </c>
      <c r="H11" s="211"/>
      <c r="I11" s="211"/>
      <c r="J11" s="211"/>
      <c r="K11" s="230"/>
      <c r="L11" s="230"/>
      <c r="M11" s="233">
        <f>SUM(G11:L11)</f>
        <v>6509.674800000001</v>
      </c>
      <c r="N11" s="94"/>
    </row>
    <row r="12" spans="2:14" ht="5.25" customHeight="1">
      <c r="B12" s="254"/>
      <c r="C12" s="42"/>
      <c r="D12" s="48"/>
      <c r="E12" s="45"/>
      <c r="F12" s="224"/>
      <c r="G12" s="265"/>
      <c r="H12" s="212"/>
      <c r="I12" s="212"/>
      <c r="J12" s="212"/>
      <c r="K12" s="231"/>
      <c r="L12" s="231"/>
      <c r="M12" s="233"/>
      <c r="N12" s="94"/>
    </row>
    <row r="13" spans="2:14" ht="12.75" customHeight="1">
      <c r="B13" s="254">
        <v>2</v>
      </c>
      <c r="C13" s="42" t="s">
        <v>18</v>
      </c>
      <c r="D13" s="48">
        <v>1</v>
      </c>
      <c r="E13" s="45" t="s">
        <v>79</v>
      </c>
      <c r="F13" s="224">
        <f>orçamento!G29</f>
        <v>41912.1804</v>
      </c>
      <c r="G13" s="237">
        <f>F13</f>
        <v>41912.1804</v>
      </c>
      <c r="H13" s="211"/>
      <c r="I13" s="211"/>
      <c r="J13" s="211"/>
      <c r="K13" s="230"/>
      <c r="L13" s="230"/>
      <c r="M13" s="233">
        <f>SUM(G13:L13)</f>
        <v>41912.1804</v>
      </c>
      <c r="N13" s="94"/>
    </row>
    <row r="14" spans="2:14" ht="5.25" customHeight="1">
      <c r="B14" s="254"/>
      <c r="C14" s="42"/>
      <c r="D14" s="213"/>
      <c r="E14" s="214"/>
      <c r="F14" s="225"/>
      <c r="G14" s="266"/>
      <c r="H14" s="211"/>
      <c r="I14" s="211"/>
      <c r="J14" s="211"/>
      <c r="K14" s="230"/>
      <c r="L14" s="230"/>
      <c r="M14" s="233"/>
      <c r="N14" s="94"/>
    </row>
    <row r="15" spans="2:14" ht="12.75" customHeight="1">
      <c r="B15" s="254">
        <v>3</v>
      </c>
      <c r="C15" s="42" t="s">
        <v>27</v>
      </c>
      <c r="D15" s="213">
        <v>1</v>
      </c>
      <c r="E15" s="45" t="s">
        <v>79</v>
      </c>
      <c r="F15" s="224">
        <f>orçamento!G36</f>
        <v>65419.5291</v>
      </c>
      <c r="G15" s="239"/>
      <c r="H15" s="211">
        <f>(orçamento!G31*0.8)+orçamento!G32+orçamento!G33+orçamento!G34</f>
        <v>42141.2804</v>
      </c>
      <c r="I15" s="211">
        <f>F15-H15</f>
        <v>23278.248699999996</v>
      </c>
      <c r="J15" s="211"/>
      <c r="K15" s="230"/>
      <c r="L15" s="230"/>
      <c r="M15" s="233">
        <f>SUM(G15:L15)</f>
        <v>65419.5291</v>
      </c>
      <c r="N15" s="94"/>
    </row>
    <row r="16" spans="2:14" ht="5.25" customHeight="1">
      <c r="B16" s="254"/>
      <c r="C16" s="42"/>
      <c r="D16" s="213"/>
      <c r="E16" s="214"/>
      <c r="F16" s="225"/>
      <c r="G16" s="239"/>
      <c r="H16" s="267"/>
      <c r="I16" s="326"/>
      <c r="J16" s="211"/>
      <c r="K16" s="230"/>
      <c r="L16" s="230"/>
      <c r="M16" s="233"/>
      <c r="N16" s="94"/>
    </row>
    <row r="17" spans="2:14" ht="12.75" customHeight="1">
      <c r="B17" s="115">
        <v>4</v>
      </c>
      <c r="C17" s="65" t="s">
        <v>281</v>
      </c>
      <c r="D17" s="116"/>
      <c r="E17" s="117"/>
      <c r="F17" s="226"/>
      <c r="G17" s="240"/>
      <c r="H17" s="118"/>
      <c r="I17" s="118"/>
      <c r="J17" s="118"/>
      <c r="K17" s="190"/>
      <c r="L17" s="190"/>
      <c r="M17" s="192"/>
      <c r="N17" s="94"/>
    </row>
    <row r="18" spans="2:14" ht="12.75" customHeight="1">
      <c r="B18" s="255" t="s">
        <v>34</v>
      </c>
      <c r="C18" s="25" t="s">
        <v>282</v>
      </c>
      <c r="D18" s="13">
        <v>1</v>
      </c>
      <c r="E18" s="45" t="s">
        <v>79</v>
      </c>
      <c r="F18" s="227">
        <f>orçamento!G39+orçamento!G40+orçamento!G41+orçamento!G42+orçamento!G43</f>
        <v>9417.839999999998</v>
      </c>
      <c r="G18" s="237"/>
      <c r="H18" s="211"/>
      <c r="I18" s="211"/>
      <c r="J18" s="211">
        <f>F18/2</f>
        <v>4708.919999999999</v>
      </c>
      <c r="K18" s="230">
        <f>F18-J18</f>
        <v>4708.919999999999</v>
      </c>
      <c r="L18" s="230"/>
      <c r="M18" s="233">
        <f>SUM(G18:L18)</f>
        <v>9417.839999999998</v>
      </c>
      <c r="N18" s="94"/>
    </row>
    <row r="19" spans="2:14" ht="5.25" customHeight="1">
      <c r="B19" s="256"/>
      <c r="C19" s="25"/>
      <c r="D19" s="13"/>
      <c r="E19" s="14"/>
      <c r="F19" s="224"/>
      <c r="G19" s="238"/>
      <c r="H19" s="212"/>
      <c r="I19" s="212"/>
      <c r="J19" s="268"/>
      <c r="K19" s="269"/>
      <c r="L19" s="231"/>
      <c r="M19" s="233"/>
      <c r="N19" s="94"/>
    </row>
    <row r="20" spans="2:14" ht="12.75" customHeight="1">
      <c r="B20" s="255" t="s">
        <v>35</v>
      </c>
      <c r="C20" s="25" t="s">
        <v>283</v>
      </c>
      <c r="D20" s="13">
        <v>1</v>
      </c>
      <c r="E20" s="45" t="s">
        <v>79</v>
      </c>
      <c r="F20" s="227">
        <f>orçamento!G45+orçamento!G46+orçamento!G47</f>
        <v>3639.184</v>
      </c>
      <c r="G20" s="237"/>
      <c r="H20" s="211"/>
      <c r="I20" s="211"/>
      <c r="J20" s="211">
        <f>F20/2</f>
        <v>1819.592</v>
      </c>
      <c r="K20" s="230">
        <f>F20-J20</f>
        <v>1819.592</v>
      </c>
      <c r="L20" s="230"/>
      <c r="M20" s="233">
        <f>SUM(G20:L20)</f>
        <v>3639.184</v>
      </c>
      <c r="N20" s="94"/>
    </row>
    <row r="21" spans="2:14" ht="5.25" customHeight="1">
      <c r="B21" s="256"/>
      <c r="C21" s="25"/>
      <c r="D21" s="13"/>
      <c r="E21" s="14"/>
      <c r="F21" s="224"/>
      <c r="G21" s="241"/>
      <c r="H21" s="212"/>
      <c r="I21" s="212"/>
      <c r="J21" s="268"/>
      <c r="K21" s="269"/>
      <c r="L21" s="231"/>
      <c r="M21" s="233"/>
      <c r="N21" s="94"/>
    </row>
    <row r="22" spans="2:14" ht="12.75" customHeight="1">
      <c r="B22" s="255" t="s">
        <v>39</v>
      </c>
      <c r="C22" s="25" t="s">
        <v>284</v>
      </c>
      <c r="D22" s="13">
        <v>1</v>
      </c>
      <c r="E22" s="45" t="s">
        <v>79</v>
      </c>
      <c r="F22" s="227">
        <f>orçamento!G49+orçamento!G50+orçamento!G51+orçamento!G52+orçamento!G53+orçamento!G54+orçamento!G55+orçamento!G56</f>
        <v>14897.9384</v>
      </c>
      <c r="G22" s="237"/>
      <c r="H22" s="211"/>
      <c r="I22" s="211"/>
      <c r="J22" s="211">
        <f>F22/2</f>
        <v>7448.9692</v>
      </c>
      <c r="K22" s="230">
        <f>F22/2</f>
        <v>7448.9692</v>
      </c>
      <c r="L22" s="230"/>
      <c r="M22" s="233">
        <f>SUM(G22:L22)</f>
        <v>14897.9384</v>
      </c>
      <c r="N22" s="94"/>
    </row>
    <row r="23" spans="2:14" ht="5.25" customHeight="1">
      <c r="B23" s="256"/>
      <c r="C23" s="25"/>
      <c r="D23" s="13"/>
      <c r="E23" s="14"/>
      <c r="F23" s="224"/>
      <c r="G23" s="238"/>
      <c r="H23" s="212"/>
      <c r="I23" s="212"/>
      <c r="J23" s="329"/>
      <c r="K23" s="328"/>
      <c r="L23" s="231"/>
      <c r="M23" s="233"/>
      <c r="N23" s="94"/>
    </row>
    <row r="24" spans="2:14" ht="12.75" customHeight="1">
      <c r="B24" s="255">
        <v>5</v>
      </c>
      <c r="C24" s="25" t="s">
        <v>365</v>
      </c>
      <c r="D24" s="13">
        <v>1</v>
      </c>
      <c r="E24" s="45" t="s">
        <v>79</v>
      </c>
      <c r="F24" s="227">
        <f>orçamento!G66</f>
        <v>5112.84</v>
      </c>
      <c r="G24" s="239"/>
      <c r="H24" s="211"/>
      <c r="I24" s="212"/>
      <c r="J24" s="212"/>
      <c r="K24" s="231"/>
      <c r="L24" s="230">
        <f>F24</f>
        <v>5112.84</v>
      </c>
      <c r="M24" s="233">
        <f>SUM(G24:L24)</f>
        <v>5112.84</v>
      </c>
      <c r="N24" s="94"/>
    </row>
    <row r="25" spans="2:14" ht="5.25" customHeight="1">
      <c r="B25" s="256"/>
      <c r="C25" s="25"/>
      <c r="D25" s="13"/>
      <c r="E25" s="14"/>
      <c r="F25" s="224"/>
      <c r="G25" s="239"/>
      <c r="H25" s="211"/>
      <c r="I25" s="212"/>
      <c r="J25" s="212"/>
      <c r="K25" s="231"/>
      <c r="L25" s="269"/>
      <c r="M25" s="233"/>
      <c r="N25" s="94"/>
    </row>
    <row r="26" spans="2:14" ht="12.75" customHeight="1">
      <c r="B26" s="254">
        <v>6</v>
      </c>
      <c r="C26" s="42" t="s">
        <v>41</v>
      </c>
      <c r="D26" s="48">
        <v>1</v>
      </c>
      <c r="E26" s="45" t="s">
        <v>79</v>
      </c>
      <c r="F26" s="224">
        <f>orçamento!G75</f>
        <v>42087.6463</v>
      </c>
      <c r="G26" s="238"/>
      <c r="H26" s="212"/>
      <c r="I26" s="212">
        <f>F26*0.7</f>
        <v>29461.35241</v>
      </c>
      <c r="J26" s="212">
        <f>F26*0.2</f>
        <v>8417.529260000001</v>
      </c>
      <c r="K26" s="231">
        <f>F26-I26-J26</f>
        <v>4208.76463</v>
      </c>
      <c r="L26" s="230"/>
      <c r="M26" s="233">
        <f>SUM(G26:L26)</f>
        <v>42087.6463</v>
      </c>
      <c r="N26" s="94"/>
    </row>
    <row r="27" spans="2:14" ht="5.25" customHeight="1">
      <c r="B27" s="257"/>
      <c r="C27" s="42"/>
      <c r="D27" s="48"/>
      <c r="E27" s="45"/>
      <c r="F27" s="224"/>
      <c r="G27" s="238"/>
      <c r="H27" s="212"/>
      <c r="I27" s="268"/>
      <c r="J27" s="329"/>
      <c r="K27" s="328"/>
      <c r="L27" s="231"/>
      <c r="M27" s="233"/>
      <c r="N27" s="94"/>
    </row>
    <row r="28" spans="2:14" ht="12.75" customHeight="1">
      <c r="B28" s="255">
        <v>7</v>
      </c>
      <c r="C28" s="25" t="s">
        <v>52</v>
      </c>
      <c r="D28" s="13">
        <v>1</v>
      </c>
      <c r="E28" s="45" t="s">
        <v>79</v>
      </c>
      <c r="F28" s="227">
        <f>orçamento!G83</f>
        <v>64292.09880000001</v>
      </c>
      <c r="G28" s="238"/>
      <c r="H28" s="212"/>
      <c r="I28" s="212">
        <f>F28/3</f>
        <v>21430.699600000004</v>
      </c>
      <c r="J28" s="212">
        <f>F28/3</f>
        <v>21430.699600000004</v>
      </c>
      <c r="K28" s="231">
        <f>F28/3</f>
        <v>21430.699600000004</v>
      </c>
      <c r="L28" s="231"/>
      <c r="M28" s="233">
        <f>SUM(G28:L28)</f>
        <v>64292.09880000001</v>
      </c>
      <c r="N28" s="94"/>
    </row>
    <row r="29" spans="2:14" ht="5.25" customHeight="1">
      <c r="B29" s="255"/>
      <c r="C29" s="215"/>
      <c r="D29" s="13"/>
      <c r="E29" s="14"/>
      <c r="F29" s="227"/>
      <c r="G29" s="238"/>
      <c r="H29" s="212"/>
      <c r="I29" s="268"/>
      <c r="J29" s="268"/>
      <c r="K29" s="269"/>
      <c r="L29" s="231"/>
      <c r="M29" s="233"/>
      <c r="N29" s="94"/>
    </row>
    <row r="30" spans="2:14" ht="12.75" customHeight="1">
      <c r="B30" s="255">
        <v>8</v>
      </c>
      <c r="C30" s="25" t="s">
        <v>58</v>
      </c>
      <c r="D30" s="13">
        <v>1</v>
      </c>
      <c r="E30" s="45" t="s">
        <v>79</v>
      </c>
      <c r="F30" s="227">
        <f>orçamento!G89</f>
        <v>22212.5952</v>
      </c>
      <c r="G30" s="238"/>
      <c r="H30" s="212"/>
      <c r="I30" s="212"/>
      <c r="J30" s="212"/>
      <c r="K30" s="231"/>
      <c r="L30" s="231">
        <f>F30</f>
        <v>22212.5952</v>
      </c>
      <c r="M30" s="233">
        <f>SUM(G30:L30)</f>
        <v>22212.5952</v>
      </c>
      <c r="N30" s="94"/>
    </row>
    <row r="31" spans="2:14" ht="5.25" customHeight="1">
      <c r="B31" s="256"/>
      <c r="C31" s="25"/>
      <c r="D31" s="13"/>
      <c r="E31" s="14"/>
      <c r="F31" s="224"/>
      <c r="G31" s="238"/>
      <c r="H31" s="212"/>
      <c r="I31" s="212"/>
      <c r="J31" s="212"/>
      <c r="K31" s="231"/>
      <c r="L31" s="269"/>
      <c r="M31" s="233"/>
      <c r="N31" s="94"/>
    </row>
    <row r="32" spans="2:14" ht="12.75" customHeight="1">
      <c r="B32" s="255">
        <v>9</v>
      </c>
      <c r="C32" s="215" t="s">
        <v>66</v>
      </c>
      <c r="D32" s="13">
        <v>1</v>
      </c>
      <c r="E32" s="45" t="s">
        <v>79</v>
      </c>
      <c r="F32" s="227">
        <f>orçamento!G96</f>
        <v>22741.8593</v>
      </c>
      <c r="G32" s="238"/>
      <c r="H32" s="212"/>
      <c r="I32" s="212">
        <f>F32*0.2</f>
        <v>4548.37186</v>
      </c>
      <c r="J32" s="212">
        <f>F32-I32</f>
        <v>18193.48744</v>
      </c>
      <c r="K32" s="231"/>
      <c r="L32" s="231"/>
      <c r="M32" s="233">
        <f>SUM(G32:L32)</f>
        <v>22741.8593</v>
      </c>
      <c r="N32" s="94"/>
    </row>
    <row r="33" spans="2:14" ht="5.25" customHeight="1">
      <c r="B33" s="256"/>
      <c r="C33" s="25"/>
      <c r="D33" s="13"/>
      <c r="E33" s="14"/>
      <c r="F33" s="224"/>
      <c r="G33" s="238"/>
      <c r="H33" s="212"/>
      <c r="I33" s="268"/>
      <c r="J33" s="268"/>
      <c r="K33" s="231"/>
      <c r="L33" s="231"/>
      <c r="M33" s="233"/>
      <c r="N33" s="94"/>
    </row>
    <row r="34" spans="2:14" ht="12.75" customHeight="1">
      <c r="B34" s="115">
        <v>10</v>
      </c>
      <c r="C34" s="253" t="s">
        <v>385</v>
      </c>
      <c r="D34" s="66"/>
      <c r="E34" s="67"/>
      <c r="F34" s="228"/>
      <c r="G34" s="242"/>
      <c r="H34" s="119"/>
      <c r="I34" s="119"/>
      <c r="J34" s="119"/>
      <c r="K34" s="191"/>
      <c r="L34" s="191"/>
      <c r="M34" s="192"/>
      <c r="N34" s="94"/>
    </row>
    <row r="35" spans="2:14" ht="12.75" customHeight="1">
      <c r="B35" s="255" t="s">
        <v>74</v>
      </c>
      <c r="C35" s="215" t="s">
        <v>75</v>
      </c>
      <c r="D35" s="13">
        <v>1</v>
      </c>
      <c r="E35" s="45" t="s">
        <v>79</v>
      </c>
      <c r="F35" s="227">
        <f>orçamento!G99+orçamento!G100+orçamento!G101+orçamento!G102+orçamento!G103+orçamento!G104+orçamento!G105+orçamento!G106+orçamento!G107+orçamento!G108+orçamento!G109+orçamento!G110+orçamento!G111</f>
        <v>5217.6100000000015</v>
      </c>
      <c r="G35" s="238">
        <f>F35</f>
        <v>5217.6100000000015</v>
      </c>
      <c r="H35" s="212"/>
      <c r="I35" s="212"/>
      <c r="J35" s="212"/>
      <c r="K35" s="231"/>
      <c r="L35" s="231"/>
      <c r="M35" s="233">
        <f>SUM(G35:L35)</f>
        <v>5217.6100000000015</v>
      </c>
      <c r="N35" s="94"/>
    </row>
    <row r="36" spans="2:14" ht="5.25" customHeight="1">
      <c r="B36" s="255"/>
      <c r="C36" s="215"/>
      <c r="D36" s="13"/>
      <c r="E36" s="216"/>
      <c r="F36" s="227"/>
      <c r="G36" s="265"/>
      <c r="H36" s="212"/>
      <c r="I36" s="212"/>
      <c r="J36" s="212"/>
      <c r="K36" s="231"/>
      <c r="L36" s="231"/>
      <c r="M36" s="233"/>
      <c r="N36" s="94"/>
    </row>
    <row r="37" spans="2:15" ht="12.75" customHeight="1">
      <c r="B37" s="254" t="s">
        <v>105</v>
      </c>
      <c r="C37" s="217" t="s">
        <v>386</v>
      </c>
      <c r="D37" s="48">
        <v>1</v>
      </c>
      <c r="E37" s="45" t="s">
        <v>79</v>
      </c>
      <c r="F37" s="224">
        <f>orçamento!G113+orçamento!G114+orçamento!G115+orçamento!G116+orçamento!G117+orçamento!G118+orçamento!G119+orçamento!G120+orçamento!G121+orçamento!G122+orçamento!G123+orçamento!G124+orçamento!G125+orçamento!G126+orçamento!G127+orçamento!G128+orçamento!G129+orçamento!G130+orçamento!G131+orçamento!G132+orçamento!G133+orçamento!G134+orçamento!G135+orçamento!G136+orçamento!G137+orçamento!G138+orçamento!G139</f>
        <v>17158.899999999998</v>
      </c>
      <c r="G37" s="238"/>
      <c r="H37" s="212">
        <f>F37/5</f>
        <v>3431.7799999999997</v>
      </c>
      <c r="I37" s="212">
        <f>F37/5</f>
        <v>3431.7799999999997</v>
      </c>
      <c r="J37" s="212">
        <f>F37/5</f>
        <v>3431.7799999999997</v>
      </c>
      <c r="K37" s="231">
        <f>F37/5</f>
        <v>3431.7799999999997</v>
      </c>
      <c r="L37" s="231">
        <f>F37/5</f>
        <v>3431.7799999999997</v>
      </c>
      <c r="M37" s="233">
        <f>SUM(G37:L37)</f>
        <v>17158.899999999998</v>
      </c>
      <c r="N37" s="94"/>
      <c r="O37" s="100"/>
    </row>
    <row r="38" spans="2:15" ht="5.25" customHeight="1">
      <c r="B38" s="257"/>
      <c r="C38" s="42"/>
      <c r="D38" s="48"/>
      <c r="E38" s="45"/>
      <c r="F38" s="224"/>
      <c r="G38" s="238"/>
      <c r="H38" s="329"/>
      <c r="I38" s="268"/>
      <c r="J38" s="268"/>
      <c r="K38" s="269"/>
      <c r="L38" s="269"/>
      <c r="M38" s="233"/>
      <c r="N38" s="94"/>
      <c r="O38" s="100"/>
    </row>
    <row r="39" spans="2:61" ht="12.75" customHeight="1">
      <c r="B39" s="115">
        <v>11</v>
      </c>
      <c r="C39" s="253" t="s">
        <v>210</v>
      </c>
      <c r="D39" s="66"/>
      <c r="E39" s="67"/>
      <c r="F39" s="228"/>
      <c r="G39" s="242"/>
      <c r="H39" s="119"/>
      <c r="I39" s="119"/>
      <c r="J39" s="119"/>
      <c r="K39" s="191"/>
      <c r="L39" s="191"/>
      <c r="M39" s="192"/>
      <c r="N39" s="94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</row>
    <row r="40" spans="2:61" s="195" customFormat="1" ht="12" customHeight="1">
      <c r="B40" s="257" t="s">
        <v>163</v>
      </c>
      <c r="C40" s="42" t="s">
        <v>387</v>
      </c>
      <c r="D40" s="48">
        <v>1</v>
      </c>
      <c r="E40" s="45" t="s">
        <v>79</v>
      </c>
      <c r="F40" s="224">
        <f>orçamento!G143+orçamento!G145+orçamento!G146+orçamento!G147+orçamento!G148+orçamento!G149+orçamento!G150+orçamento!G151+orçamento!G152+orçamento!G153+orçamento!G154+orçamento!G155+orçamento!G156+orçamento!G157</f>
        <v>21299.13</v>
      </c>
      <c r="G40" s="238"/>
      <c r="H40" s="212">
        <f>F40/4</f>
        <v>5324.7825</v>
      </c>
      <c r="I40" s="212">
        <f>F40/4</f>
        <v>5324.7825</v>
      </c>
      <c r="J40" s="212">
        <f>F40/4</f>
        <v>5324.7825</v>
      </c>
      <c r="K40" s="231">
        <f>F40/4</f>
        <v>5324.7825</v>
      </c>
      <c r="L40" s="231"/>
      <c r="M40" s="233">
        <f>SUM(G40:L40)</f>
        <v>21299.13</v>
      </c>
      <c r="N40" s="94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</row>
    <row r="41" spans="2:61" s="195" customFormat="1" ht="6" customHeight="1">
      <c r="B41" s="257"/>
      <c r="C41" s="42"/>
      <c r="D41" s="48"/>
      <c r="E41" s="45"/>
      <c r="F41" s="224"/>
      <c r="G41" s="238"/>
      <c r="H41" s="329"/>
      <c r="I41" s="270"/>
      <c r="J41" s="271"/>
      <c r="K41" s="272"/>
      <c r="L41" s="231"/>
      <c r="M41" s="233"/>
      <c r="N41" s="94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</row>
    <row r="42" spans="2:14" ht="12.75" customHeight="1">
      <c r="B42" s="254" t="s">
        <v>165</v>
      </c>
      <c r="C42" s="42" t="s">
        <v>311</v>
      </c>
      <c r="D42" s="48">
        <v>1</v>
      </c>
      <c r="E42" s="45" t="s">
        <v>79</v>
      </c>
      <c r="F42" s="224">
        <f>orçamento!G159+orçamento!G160+orçamento!G161+orçamento!G162+orçamento!G163+orçamento!G164+orçamento!G165+orçamento!G166+orçamento!G167</f>
        <v>13155.577500000003</v>
      </c>
      <c r="G42" s="238"/>
      <c r="H42" s="212"/>
      <c r="I42" s="212"/>
      <c r="J42" s="212"/>
      <c r="K42" s="231">
        <f>F42</f>
        <v>13155.577500000003</v>
      </c>
      <c r="L42" s="231"/>
      <c r="M42" s="233">
        <f>SUM(G42:L42)</f>
        <v>13155.577500000003</v>
      </c>
      <c r="N42" s="94"/>
    </row>
    <row r="43" spans="2:14" ht="5.25" customHeight="1">
      <c r="B43" s="257"/>
      <c r="C43" s="42"/>
      <c r="D43" s="48"/>
      <c r="E43" s="45"/>
      <c r="F43" s="224"/>
      <c r="G43" s="238"/>
      <c r="H43" s="212"/>
      <c r="I43" s="212"/>
      <c r="J43" s="212"/>
      <c r="K43" s="269"/>
      <c r="L43" s="231"/>
      <c r="M43" s="233"/>
      <c r="N43" s="94"/>
    </row>
    <row r="44" spans="2:14" ht="12.75" customHeight="1">
      <c r="B44" s="254" t="s">
        <v>167</v>
      </c>
      <c r="C44" s="42" t="s">
        <v>254</v>
      </c>
      <c r="D44" s="48">
        <v>1</v>
      </c>
      <c r="E44" s="45" t="s">
        <v>79</v>
      </c>
      <c r="F44" s="224">
        <f>orçamento!G169+orçamento!G170+orçamento!G171+orçamento!G172+orçamento!G173+orçamento!G174</f>
        <v>8006.620000000001</v>
      </c>
      <c r="G44" s="238"/>
      <c r="H44" s="212"/>
      <c r="I44" s="212"/>
      <c r="J44" s="212"/>
      <c r="K44" s="231">
        <f>F44</f>
        <v>8006.620000000001</v>
      </c>
      <c r="L44" s="231"/>
      <c r="M44" s="233">
        <f>SUM(G44:L44)</f>
        <v>8006.620000000001</v>
      </c>
      <c r="N44" s="94"/>
    </row>
    <row r="45" spans="2:14" ht="5.25" customHeight="1">
      <c r="B45" s="257"/>
      <c r="C45" s="42"/>
      <c r="D45" s="48"/>
      <c r="E45" s="45"/>
      <c r="F45" s="224"/>
      <c r="G45" s="238"/>
      <c r="H45" s="212"/>
      <c r="I45" s="212"/>
      <c r="J45" s="212"/>
      <c r="K45" s="269"/>
      <c r="L45" s="231"/>
      <c r="M45" s="233"/>
      <c r="N45" s="94"/>
    </row>
    <row r="46" spans="2:14" ht="12.75" customHeight="1">
      <c r="B46" s="346">
        <v>12</v>
      </c>
      <c r="C46" s="357" t="s">
        <v>388</v>
      </c>
      <c r="D46" s="331">
        <v>1</v>
      </c>
      <c r="E46" s="362" t="s">
        <v>79</v>
      </c>
      <c r="F46" s="359">
        <v>3517.36</v>
      </c>
      <c r="G46" s="347"/>
      <c r="H46" s="348"/>
      <c r="I46" s="348"/>
      <c r="J46" s="348"/>
      <c r="K46" s="349"/>
      <c r="L46" s="360">
        <v>3517.36</v>
      </c>
      <c r="M46" s="350">
        <v>3517.36</v>
      </c>
      <c r="N46" s="100"/>
    </row>
    <row r="47" spans="2:14" ht="5.25" customHeight="1">
      <c r="B47" s="318"/>
      <c r="C47" s="319"/>
      <c r="D47" s="203"/>
      <c r="E47" s="121"/>
      <c r="F47" s="320"/>
      <c r="G47" s="321"/>
      <c r="H47" s="322"/>
      <c r="I47" s="322"/>
      <c r="J47" s="322"/>
      <c r="K47" s="323"/>
      <c r="L47" s="327"/>
      <c r="M47" s="324"/>
      <c r="N47" s="100"/>
    </row>
    <row r="48" spans="2:14" s="356" customFormat="1" ht="12.75" customHeight="1">
      <c r="B48" s="351">
        <v>13</v>
      </c>
      <c r="C48" s="358" t="s">
        <v>253</v>
      </c>
      <c r="D48" s="331">
        <v>1</v>
      </c>
      <c r="E48" s="362" t="s">
        <v>79</v>
      </c>
      <c r="F48" s="359">
        <v>2589.5</v>
      </c>
      <c r="G48" s="352"/>
      <c r="H48" s="353"/>
      <c r="I48" s="353"/>
      <c r="J48" s="353"/>
      <c r="K48" s="354"/>
      <c r="L48" s="361">
        <v>2589.5</v>
      </c>
      <c r="M48" s="350">
        <v>2589.5</v>
      </c>
      <c r="N48" s="355"/>
    </row>
    <row r="49" spans="2:14" ht="5.25" customHeight="1" thickBot="1">
      <c r="B49" s="218"/>
      <c r="C49" s="219"/>
      <c r="D49" s="220"/>
      <c r="E49" s="221"/>
      <c r="F49" s="229"/>
      <c r="G49" s="243"/>
      <c r="H49" s="222"/>
      <c r="I49" s="222"/>
      <c r="J49" s="222"/>
      <c r="K49" s="232"/>
      <c r="L49" s="273"/>
      <c r="M49" s="234"/>
      <c r="N49" s="100"/>
    </row>
    <row r="50" spans="2:15" ht="19.5" customHeight="1" thickBot="1" thickTop="1">
      <c r="B50" s="400" t="s">
        <v>389</v>
      </c>
      <c r="C50" s="401"/>
      <c r="D50" s="401"/>
      <c r="E50" s="402"/>
      <c r="F50" s="132">
        <f aca="true" t="shared" si="0" ref="F50:L50">SUM(F11:F49)</f>
        <v>369188.0838</v>
      </c>
      <c r="G50" s="122">
        <f t="shared" si="0"/>
        <v>53639.4652</v>
      </c>
      <c r="H50" s="122">
        <f t="shared" si="0"/>
        <v>50897.8429</v>
      </c>
      <c r="I50" s="122">
        <f t="shared" si="0"/>
        <v>87475.23507</v>
      </c>
      <c r="J50" s="122">
        <f t="shared" si="0"/>
        <v>70775.76</v>
      </c>
      <c r="K50" s="122">
        <f t="shared" si="0"/>
        <v>69535.70543</v>
      </c>
      <c r="L50" s="122">
        <f t="shared" si="0"/>
        <v>36864.0752</v>
      </c>
      <c r="M50" s="122">
        <f>M44+M42+M40+M37+M35+M32+M30+M28+M26+M24+M22+M20+M18+M15+M13+M11+M46+M48</f>
        <v>369188.08379999996</v>
      </c>
      <c r="O50" s="330"/>
    </row>
    <row r="51" spans="2:13" ht="19.5" customHeight="1" thickBot="1" thickTop="1">
      <c r="B51" s="400" t="s">
        <v>438</v>
      </c>
      <c r="C51" s="401"/>
      <c r="D51" s="401"/>
      <c r="E51" s="402"/>
      <c r="F51" s="132">
        <f aca="true" t="shared" si="1" ref="F51:L51">F50*0.1770496</f>
        <v>65364.60256155649</v>
      </c>
      <c r="G51" s="122">
        <f t="shared" si="1"/>
        <v>9496.84585787392</v>
      </c>
      <c r="H51" s="122">
        <f t="shared" si="1"/>
        <v>9011.442726307841</v>
      </c>
      <c r="I51" s="122">
        <f t="shared" si="1"/>
        <v>15487.455379049472</v>
      </c>
      <c r="J51" s="122">
        <f t="shared" si="1"/>
        <v>12530.819997695999</v>
      </c>
      <c r="K51" s="122">
        <f t="shared" si="1"/>
        <v>12311.26883209933</v>
      </c>
      <c r="L51" s="122">
        <f t="shared" si="1"/>
        <v>6526.76976852992</v>
      </c>
      <c r="M51" s="122">
        <f>SUM(G51:L51)</f>
        <v>65364.60256155649</v>
      </c>
    </row>
    <row r="52" spans="2:13" ht="19.5" customHeight="1" thickBot="1" thickTop="1">
      <c r="B52" s="400" t="s">
        <v>405</v>
      </c>
      <c r="C52" s="401"/>
      <c r="D52" s="401"/>
      <c r="E52" s="402"/>
      <c r="F52" s="132">
        <f>SUM(F50:F51)</f>
        <v>434552.6863615565</v>
      </c>
      <c r="G52" s="122">
        <f aca="true" t="shared" si="2" ref="G52:L52">SUM(G50:G51)</f>
        <v>63136.311057873914</v>
      </c>
      <c r="H52" s="122">
        <f t="shared" si="2"/>
        <v>59909.28562630784</v>
      </c>
      <c r="I52" s="122">
        <f t="shared" si="2"/>
        <v>102962.69044904946</v>
      </c>
      <c r="J52" s="122">
        <f t="shared" si="2"/>
        <v>83306.579997696</v>
      </c>
      <c r="K52" s="122">
        <f t="shared" si="2"/>
        <v>81846.97426209933</v>
      </c>
      <c r="L52" s="122">
        <f t="shared" si="2"/>
        <v>43390.84496852992</v>
      </c>
      <c r="M52" s="122">
        <f>M50+M51</f>
        <v>434552.68636155647</v>
      </c>
    </row>
    <row r="53" spans="2:13" ht="24.75" customHeight="1" thickBot="1" thickTop="1">
      <c r="B53" s="123"/>
      <c r="C53" s="401" t="s">
        <v>192</v>
      </c>
      <c r="D53" s="401"/>
      <c r="E53" s="401"/>
      <c r="F53" s="124"/>
      <c r="G53" s="409">
        <v>434552.69</v>
      </c>
      <c r="H53" s="410"/>
      <c r="I53" s="410"/>
      <c r="J53" s="410"/>
      <c r="K53" s="410"/>
      <c r="L53" s="411"/>
      <c r="M53" s="125">
        <v>434552.69</v>
      </c>
    </row>
    <row r="54" ht="15" customHeight="1" thickTop="1"/>
    <row r="55" ht="15" customHeight="1"/>
    <row r="56" spans="3:14" ht="15" customHeight="1" thickBot="1">
      <c r="C56"/>
      <c r="F56" s="100"/>
      <c r="G56" s="100"/>
      <c r="H56" s="128"/>
      <c r="I56" s="128"/>
      <c r="J56" s="128"/>
      <c r="K56" s="128"/>
      <c r="L56" s="128"/>
      <c r="M56" s="100"/>
      <c r="N56" s="100"/>
    </row>
    <row r="57" spans="3:14" ht="12.75">
      <c r="C57" s="258" t="s">
        <v>226</v>
      </c>
      <c r="D57" s="259"/>
      <c r="E57" s="259"/>
      <c r="F57" s="260"/>
      <c r="G57" s="260"/>
      <c r="H57" s="325" t="s">
        <v>350</v>
      </c>
      <c r="I57" s="61"/>
      <c r="J57" s="61"/>
      <c r="K57" s="61"/>
      <c r="L57" s="61"/>
      <c r="M57" s="406"/>
      <c r="N57" s="406"/>
    </row>
    <row r="58" spans="3:14" ht="12.75">
      <c r="C58" s="261" t="s">
        <v>182</v>
      </c>
      <c r="D58" s="259"/>
      <c r="E58" s="259"/>
      <c r="F58" s="262"/>
      <c r="G58" s="262"/>
      <c r="H58" s="259" t="s">
        <v>351</v>
      </c>
      <c r="I58" s="3"/>
      <c r="J58" s="3"/>
      <c r="K58" s="3"/>
      <c r="L58" s="3"/>
      <c r="M58" s="403"/>
      <c r="N58" s="403"/>
    </row>
    <row r="59" spans="2:12" ht="12.75">
      <c r="B59" s="100"/>
      <c r="C59" s="261" t="s">
        <v>327</v>
      </c>
      <c r="D59" s="263"/>
      <c r="E59" s="263"/>
      <c r="F59" s="263"/>
      <c r="G59" s="264"/>
      <c r="H59" s="259" t="s">
        <v>328</v>
      </c>
      <c r="I59" s="3"/>
      <c r="J59" s="3"/>
      <c r="K59" s="3"/>
      <c r="L59" s="3"/>
    </row>
    <row r="60" spans="2:7" ht="15.75">
      <c r="B60" s="100"/>
      <c r="C60" s="130"/>
      <c r="D60" s="129"/>
      <c r="E60" s="129"/>
      <c r="F60" s="129"/>
      <c r="G60" s="100"/>
    </row>
    <row r="61" spans="2:11" ht="12.75">
      <c r="B61" s="100"/>
      <c r="C61"/>
      <c r="D61"/>
      <c r="E61"/>
      <c r="F61"/>
      <c r="G61"/>
      <c r="H61"/>
      <c r="I61"/>
      <c r="J61"/>
      <c r="K61"/>
    </row>
    <row r="62" spans="2:11" ht="12.75">
      <c r="B62" s="100"/>
      <c r="C62"/>
      <c r="D62"/>
      <c r="E62"/>
      <c r="F62"/>
      <c r="G62"/>
      <c r="H62"/>
      <c r="I62"/>
      <c r="J62"/>
      <c r="K62"/>
    </row>
    <row r="63" spans="2:11" ht="12.75">
      <c r="B63" s="100"/>
      <c r="C63"/>
      <c r="D63"/>
      <c r="E63"/>
      <c r="F63"/>
      <c r="G63"/>
      <c r="H63"/>
      <c r="I63"/>
      <c r="J63"/>
      <c r="K63"/>
    </row>
    <row r="64" spans="2:11" ht="12.75">
      <c r="B64" s="100"/>
      <c r="C64"/>
      <c r="D64"/>
      <c r="E64"/>
      <c r="F64"/>
      <c r="G64"/>
      <c r="H64"/>
      <c r="I64"/>
      <c r="J64"/>
      <c r="K64"/>
    </row>
    <row r="65" spans="2:11" ht="12.75">
      <c r="B65" s="100"/>
      <c r="C65"/>
      <c r="D65"/>
      <c r="E65"/>
      <c r="F65"/>
      <c r="G65"/>
      <c r="H65"/>
      <c r="I65"/>
      <c r="J65"/>
      <c r="K65"/>
    </row>
    <row r="66" spans="2:11" ht="12.75">
      <c r="B66" s="100"/>
      <c r="C66"/>
      <c r="D66"/>
      <c r="E66"/>
      <c r="F66"/>
      <c r="G66"/>
      <c r="H66"/>
      <c r="I66"/>
      <c r="J66"/>
      <c r="K66"/>
    </row>
    <row r="67" spans="2:11" ht="12.75">
      <c r="B67" s="100"/>
      <c r="C67"/>
      <c r="D67"/>
      <c r="E67"/>
      <c r="F67"/>
      <c r="G67"/>
      <c r="H67"/>
      <c r="I67"/>
      <c r="J67"/>
      <c r="K67"/>
    </row>
    <row r="68" spans="2:11" ht="12.75">
      <c r="B68" s="100"/>
      <c r="C68"/>
      <c r="D68"/>
      <c r="E68"/>
      <c r="F68"/>
      <c r="G68"/>
      <c r="H68"/>
      <c r="I68"/>
      <c r="J68"/>
      <c r="K68"/>
    </row>
    <row r="69" spans="2:11" ht="18.75">
      <c r="B69" s="131"/>
      <c r="C69"/>
      <c r="D69"/>
      <c r="E69"/>
      <c r="F69"/>
      <c r="G69"/>
      <c r="H69"/>
      <c r="I69"/>
      <c r="J69"/>
      <c r="K69"/>
    </row>
    <row r="70" spans="3:11" ht="12.75">
      <c r="C70"/>
      <c r="D70"/>
      <c r="E70"/>
      <c r="F70"/>
      <c r="G70"/>
      <c r="H70"/>
      <c r="I70"/>
      <c r="J70"/>
      <c r="K70"/>
    </row>
    <row r="65338" ht="12.75">
      <c r="E65338" s="89" t="s">
        <v>196</v>
      </c>
    </row>
  </sheetData>
  <sheetProtection/>
  <mergeCells count="16">
    <mergeCell ref="C53:E53"/>
    <mergeCell ref="G53:L53"/>
    <mergeCell ref="B51:E51"/>
    <mergeCell ref="B52:E52"/>
    <mergeCell ref="G5:M5"/>
    <mergeCell ref="G3:M3"/>
    <mergeCell ref="O7:S7"/>
    <mergeCell ref="G6:M6"/>
    <mergeCell ref="G4:L4"/>
    <mergeCell ref="B50:E50"/>
    <mergeCell ref="M58:N58"/>
    <mergeCell ref="G7:L7"/>
    <mergeCell ref="G8:L8"/>
    <mergeCell ref="M57:N57"/>
    <mergeCell ref="C4:F4"/>
    <mergeCell ref="C5:F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showGridLines="0" zoomScale="75" zoomScaleNormal="75" zoomScaleSheetLayoutView="75" zoomScalePageLayoutView="0" workbookViewId="0" topLeftCell="A1">
      <selection activeCell="G7" sqref="G7:L7"/>
    </sheetView>
  </sheetViews>
  <sheetFormatPr defaultColWidth="9.140625" defaultRowHeight="12.75"/>
  <cols>
    <col min="1" max="1" width="1.7109375" style="89" customWidth="1"/>
    <col min="2" max="2" width="6.28125" style="89" customWidth="1"/>
    <col min="3" max="6" width="17.7109375" style="89" customWidth="1"/>
    <col min="7" max="12" width="15.7109375" style="89" customWidth="1"/>
    <col min="13" max="13" width="17.7109375" style="89" customWidth="1"/>
    <col min="14" max="14" width="1.421875" style="89" customWidth="1"/>
    <col min="15" max="16384" width="9.140625" style="89" customWidth="1"/>
  </cols>
  <sheetData>
    <row r="2" spans="2:13" ht="13.5" thickBot="1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2:13" ht="19.5" customHeight="1" thickTop="1">
      <c r="B3" s="90"/>
      <c r="C3" s="91"/>
      <c r="D3" s="92"/>
      <c r="E3" s="93"/>
      <c r="F3" s="92"/>
      <c r="G3" s="413" t="s">
        <v>193</v>
      </c>
      <c r="H3" s="414"/>
      <c r="I3" s="414"/>
      <c r="J3" s="414"/>
      <c r="K3" s="414"/>
      <c r="L3" s="414"/>
      <c r="M3" s="415"/>
    </row>
    <row r="4" spans="2:13" ht="19.5" customHeight="1">
      <c r="B4" s="94"/>
      <c r="C4" s="407" t="s">
        <v>0</v>
      </c>
      <c r="D4" s="407"/>
      <c r="E4" s="407"/>
      <c r="F4" s="407"/>
      <c r="G4" s="398" t="s">
        <v>340</v>
      </c>
      <c r="H4" s="399"/>
      <c r="I4" s="399"/>
      <c r="J4" s="399"/>
      <c r="K4" s="399"/>
      <c r="L4" s="399"/>
      <c r="M4" s="96"/>
    </row>
    <row r="5" spans="2:13" ht="19.5" customHeight="1">
      <c r="B5" s="94"/>
      <c r="C5" s="408" t="s">
        <v>1</v>
      </c>
      <c r="D5" s="408"/>
      <c r="E5" s="408"/>
      <c r="F5" s="408"/>
      <c r="G5" s="398" t="s">
        <v>407</v>
      </c>
      <c r="H5" s="399"/>
      <c r="I5" s="399"/>
      <c r="J5" s="399"/>
      <c r="K5" s="399"/>
      <c r="L5" s="399"/>
      <c r="M5" s="412"/>
    </row>
    <row r="6" spans="2:13" ht="19.5" customHeight="1">
      <c r="B6" s="94"/>
      <c r="C6" s="97"/>
      <c r="D6" s="97"/>
      <c r="E6" s="97"/>
      <c r="F6" s="97"/>
      <c r="G6" s="395" t="s">
        <v>392</v>
      </c>
      <c r="H6" s="396"/>
      <c r="I6" s="396"/>
      <c r="J6" s="396"/>
      <c r="K6" s="396"/>
      <c r="L6" s="396"/>
      <c r="M6" s="397"/>
    </row>
    <row r="7" spans="2:19" ht="19.5" customHeight="1" thickBot="1">
      <c r="B7" s="94"/>
      <c r="C7" s="98"/>
      <c r="D7" s="99"/>
      <c r="E7" s="95"/>
      <c r="F7" s="99"/>
      <c r="G7" s="416" t="s">
        <v>440</v>
      </c>
      <c r="H7" s="417"/>
      <c r="I7" s="417"/>
      <c r="J7" s="417"/>
      <c r="K7" s="417"/>
      <c r="L7" s="417"/>
      <c r="M7" s="165"/>
      <c r="O7" s="100"/>
      <c r="P7" s="100"/>
      <c r="Q7" s="100"/>
      <c r="R7" s="100"/>
      <c r="S7" s="100"/>
    </row>
    <row r="8" spans="2:19" ht="15" thickTop="1">
      <c r="B8" s="147"/>
      <c r="C8" s="102"/>
      <c r="D8" s="151"/>
      <c r="E8" s="152"/>
      <c r="F8" s="149"/>
      <c r="G8" s="404" t="s">
        <v>185</v>
      </c>
      <c r="H8" s="404"/>
      <c r="I8" s="404"/>
      <c r="J8" s="404"/>
      <c r="K8" s="404"/>
      <c r="L8" s="404"/>
      <c r="M8" s="104" t="s">
        <v>9</v>
      </c>
      <c r="O8" s="394"/>
      <c r="P8" s="394"/>
      <c r="Q8" s="394"/>
      <c r="R8" s="394"/>
      <c r="S8" s="394"/>
    </row>
    <row r="9" spans="2:13" ht="16.5" thickBot="1">
      <c r="B9" s="153"/>
      <c r="C9" s="166" t="s">
        <v>404</v>
      </c>
      <c r="D9" s="154"/>
      <c r="E9" s="155"/>
      <c r="F9" s="150"/>
      <c r="G9" s="405" t="s">
        <v>339</v>
      </c>
      <c r="H9" s="405"/>
      <c r="I9" s="405"/>
      <c r="J9" s="405"/>
      <c r="K9" s="405"/>
      <c r="L9" s="405"/>
      <c r="M9" s="109" t="s">
        <v>186</v>
      </c>
    </row>
    <row r="10" spans="2:13" ht="24.75" customHeight="1" thickBot="1" thickTop="1">
      <c r="B10" s="156"/>
      <c r="C10" s="157"/>
      <c r="D10" s="158"/>
      <c r="E10" s="159"/>
      <c r="F10" s="160"/>
      <c r="G10" s="161" t="s">
        <v>188</v>
      </c>
      <c r="H10" s="162" t="s">
        <v>189</v>
      </c>
      <c r="I10" s="162" t="s">
        <v>190</v>
      </c>
      <c r="J10" s="162" t="s">
        <v>197</v>
      </c>
      <c r="K10" s="162" t="s">
        <v>198</v>
      </c>
      <c r="L10" s="162" t="s">
        <v>338</v>
      </c>
      <c r="M10" s="163"/>
    </row>
    <row r="11" spans="2:14" ht="34.5" customHeight="1" thickTop="1">
      <c r="B11" s="145"/>
      <c r="C11" s="418" t="s">
        <v>212</v>
      </c>
      <c r="D11" s="419"/>
      <c r="E11" s="419"/>
      <c r="F11" s="420"/>
      <c r="G11" s="170">
        <f aca="true" t="shared" si="0" ref="G11:L11">G13*0.938896504</f>
        <v>59278.46172769436</v>
      </c>
      <c r="H11" s="170">
        <f t="shared" si="0"/>
        <v>56248.618831677886</v>
      </c>
      <c r="I11" s="170">
        <f t="shared" si="0"/>
        <v>96671.31010504674</v>
      </c>
      <c r="J11" s="170">
        <f t="shared" si="0"/>
        <v>78216.2567200331</v>
      </c>
      <c r="K11" s="170">
        <f t="shared" si="0"/>
        <v>76845.83799766305</v>
      </c>
      <c r="L11" s="170">
        <f t="shared" si="0"/>
        <v>40739.51264655873</v>
      </c>
      <c r="M11" s="172">
        <f>SUM(G11:L11)</f>
        <v>407999.9980286739</v>
      </c>
      <c r="N11" s="127"/>
    </row>
    <row r="12" spans="2:13" ht="34.5" customHeight="1" thickBot="1">
      <c r="B12" s="146"/>
      <c r="C12" s="423" t="s">
        <v>194</v>
      </c>
      <c r="D12" s="424"/>
      <c r="E12" s="424"/>
      <c r="F12" s="425"/>
      <c r="G12" s="171">
        <f aca="true" t="shared" si="1" ref="G12:L12">G13-G11</f>
        <v>3857.8493301795534</v>
      </c>
      <c r="H12" s="171">
        <f t="shared" si="1"/>
        <v>3660.6667946299567</v>
      </c>
      <c r="I12" s="171">
        <f t="shared" si="1"/>
        <v>6291.380344002726</v>
      </c>
      <c r="J12" s="171">
        <f t="shared" si="1"/>
        <v>5090.323277662901</v>
      </c>
      <c r="K12" s="171">
        <f t="shared" si="1"/>
        <v>5001.136264436282</v>
      </c>
      <c r="L12" s="171">
        <f t="shared" si="1"/>
        <v>2651.3323219711892</v>
      </c>
      <c r="M12" s="173">
        <f>SUM(G12:L12)-0.005</f>
        <v>26552.683332882607</v>
      </c>
    </row>
    <row r="13" spans="2:14" ht="34.5" customHeight="1" thickBot="1" thickTop="1">
      <c r="B13" s="126"/>
      <c r="C13" s="421" t="s">
        <v>195</v>
      </c>
      <c r="D13" s="421"/>
      <c r="E13" s="421"/>
      <c r="F13" s="422"/>
      <c r="G13" s="148">
        <f>cronograma!G52</f>
        <v>63136.311057873914</v>
      </c>
      <c r="H13" s="148">
        <f>cronograma!H52</f>
        <v>59909.28562630784</v>
      </c>
      <c r="I13" s="148">
        <f>cronograma!I52</f>
        <v>102962.69044904946</v>
      </c>
      <c r="J13" s="148">
        <f>cronograma!J52</f>
        <v>83306.579997696</v>
      </c>
      <c r="K13" s="148">
        <f>cronograma!K52</f>
        <v>81846.97426209933</v>
      </c>
      <c r="L13" s="148">
        <f>cronograma!L52</f>
        <v>43390.84496852992</v>
      </c>
      <c r="M13" s="148">
        <f>SUM(M11:M12)</f>
        <v>434552.68136155646</v>
      </c>
      <c r="N13" s="127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93"/>
      <c r="G19" s="193"/>
      <c r="H19" s="193"/>
      <c r="I19" s="193"/>
    </row>
    <row r="20" spans="6:9" ht="12.75" customHeight="1">
      <c r="F20" s="193"/>
      <c r="G20" s="193"/>
      <c r="H20" s="193"/>
      <c r="I20" s="193"/>
    </row>
    <row r="21" spans="3:14" ht="5.25" customHeight="1">
      <c r="C21" s="100"/>
      <c r="D21" s="100"/>
      <c r="F21" s="194"/>
      <c r="G21" s="194"/>
      <c r="H21" s="194"/>
      <c r="I21" s="194"/>
      <c r="J21" s="100"/>
      <c r="K21" s="100"/>
      <c r="L21" s="100"/>
      <c r="M21" s="100"/>
      <c r="N21" s="100"/>
    </row>
    <row r="22" spans="2:14" ht="15" customHeight="1" thickBot="1">
      <c r="B22" s="63"/>
      <c r="C22" s="59"/>
      <c r="D22" s="275"/>
      <c r="E22" s="128"/>
      <c r="F22" s="100"/>
      <c r="G22" s="95"/>
      <c r="H22" s="95"/>
      <c r="I22" s="275"/>
      <c r="J22" s="275"/>
      <c r="K22" s="275"/>
      <c r="L22" s="169"/>
      <c r="M22" s="169"/>
      <c r="N22" s="169"/>
    </row>
    <row r="23" spans="2:14" ht="12.75" customHeight="1">
      <c r="B23" s="274"/>
      <c r="C23" s="274" t="s">
        <v>226</v>
      </c>
      <c r="D23" s="1"/>
      <c r="G23" s="1"/>
      <c r="H23" s="1"/>
      <c r="I23" s="325" t="s">
        <v>350</v>
      </c>
      <c r="J23" s="325"/>
      <c r="K23" s="325"/>
      <c r="L23" s="325"/>
      <c r="M23" s="325"/>
      <c r="N23" s="168"/>
    </row>
    <row r="24" spans="2:13" ht="12.75">
      <c r="B24" s="261"/>
      <c r="C24" s="261" t="s">
        <v>182</v>
      </c>
      <c r="I24" s="259" t="s">
        <v>351</v>
      </c>
      <c r="J24" s="259"/>
      <c r="K24" s="259"/>
      <c r="L24" s="259"/>
      <c r="M24" s="259"/>
    </row>
    <row r="25" spans="2:13" ht="12.75">
      <c r="B25" s="261"/>
      <c r="C25" s="261" t="s">
        <v>327</v>
      </c>
      <c r="I25" s="259" t="s">
        <v>328</v>
      </c>
      <c r="J25" s="259"/>
      <c r="K25" s="259"/>
      <c r="L25" s="259"/>
      <c r="M25" s="259"/>
    </row>
    <row r="29" ht="19.5" customHeight="1">
      <c r="C29" s="164"/>
    </row>
    <row r="30" spans="3:7" ht="19.5" customHeight="1">
      <c r="C30" s="164" t="s">
        <v>341</v>
      </c>
      <c r="D30" s="276">
        <v>408000</v>
      </c>
      <c r="E30" s="89">
        <f>D30/M13</f>
        <v>0.9388965193394719</v>
      </c>
      <c r="G30" s="277"/>
    </row>
    <row r="31" spans="3:5" ht="25.5">
      <c r="C31" s="164" t="s">
        <v>342</v>
      </c>
      <c r="D31" s="276">
        <f>M13-D30</f>
        <v>26552.68136155646</v>
      </c>
      <c r="E31" s="89">
        <f>D31/M13</f>
        <v>0.06110348066052802</v>
      </c>
    </row>
    <row r="103" ht="12.75">
      <c r="D103"/>
    </row>
  </sheetData>
  <sheetProtection/>
  <mergeCells count="13">
    <mergeCell ref="O8:S8"/>
    <mergeCell ref="G9:L9"/>
    <mergeCell ref="G6:M6"/>
    <mergeCell ref="C11:F11"/>
    <mergeCell ref="C13:F13"/>
    <mergeCell ref="C12:F12"/>
    <mergeCell ref="G8:L8"/>
    <mergeCell ref="G3:M3"/>
    <mergeCell ref="C4:F4"/>
    <mergeCell ref="G4:L4"/>
    <mergeCell ref="C5:F5"/>
    <mergeCell ref="G5:M5"/>
    <mergeCell ref="G7:L7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roselena.guarnieri</cp:lastModifiedBy>
  <cp:lastPrinted>2016-05-23T19:37:52Z</cp:lastPrinted>
  <dcterms:created xsi:type="dcterms:W3CDTF">2010-06-15T12:33:41Z</dcterms:created>
  <dcterms:modified xsi:type="dcterms:W3CDTF">2016-06-22T16:35:43Z</dcterms:modified>
  <cp:category/>
  <cp:version/>
  <cp:contentType/>
  <cp:contentStatus/>
</cp:coreProperties>
</file>