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1490" windowHeight="4650" tabRatio="898" activeTab="1"/>
  </bookViews>
  <sheets>
    <sheet name="orçamento" sheetId="1" r:id="rId1"/>
    <sheet name="cronograma" sheetId="2" r:id="rId2"/>
    <sheet name="desembolso" sheetId="3" r:id="rId3"/>
  </sheets>
  <definedNames>
    <definedName name="_xlnm.Print_Area" localSheetId="1">'cronograma'!$B$3:$M$68</definedName>
    <definedName name="_xlnm.Print_Area" localSheetId="2">'desembolso'!$A$1:$M$25</definedName>
    <definedName name="_xlnm.Print_Area" localSheetId="0">'orçamento'!$A$1:$G$229</definedName>
    <definedName name="_xlnm.Print_Titles" localSheetId="1">'cronograma'!$3:$9</definedName>
    <definedName name="_xlnm.Print_Titles" localSheetId="0">'orçamento'!$1:$13</definedName>
  </definedNames>
  <calcPr fullCalcOnLoad="1"/>
</workbook>
</file>

<file path=xl/sharedStrings.xml><?xml version="1.0" encoding="utf-8"?>
<sst xmlns="http://schemas.openxmlformats.org/spreadsheetml/2006/main" count="802" uniqueCount="486">
  <si>
    <t>PREFEITURA MUNICIPAL DE SANTO ANTONIO DE POSSE</t>
  </si>
  <si>
    <t>Estado de São Paulo</t>
  </si>
  <si>
    <t>PLANILHA DE ORÇAMENTO</t>
  </si>
  <si>
    <t>ITEM</t>
  </si>
  <si>
    <t>DESCRIÇÃO SERVIÇOS (MAT+MO)</t>
  </si>
  <si>
    <t>CÓDIGO</t>
  </si>
  <si>
    <t>QUANT.</t>
  </si>
  <si>
    <t>UNID.</t>
  </si>
  <si>
    <t>UNITÁRIO</t>
  </si>
  <si>
    <t>TOTAL</t>
  </si>
  <si>
    <t>SERVIÇOS INICIAIS</t>
  </si>
  <si>
    <t>1.1</t>
  </si>
  <si>
    <t>m2</t>
  </si>
  <si>
    <t>1.2</t>
  </si>
  <si>
    <t>1.3</t>
  </si>
  <si>
    <t>LOCAÇÃO DA OBRA</t>
  </si>
  <si>
    <t>1.4</t>
  </si>
  <si>
    <t>m3</t>
  </si>
  <si>
    <t>INFRAESTRUTURA</t>
  </si>
  <si>
    <t>2.1</t>
  </si>
  <si>
    <t>m</t>
  </si>
  <si>
    <t>2.2</t>
  </si>
  <si>
    <t>2.3</t>
  </si>
  <si>
    <t>AÇO CA50A</t>
  </si>
  <si>
    <t>74.254/002</t>
  </si>
  <si>
    <t>kg</t>
  </si>
  <si>
    <t>2.4</t>
  </si>
  <si>
    <t>2.5</t>
  </si>
  <si>
    <t>IMPERMEABILIZAÇÃO DE ALICERCE / PAREDE CONTENÇÃO</t>
  </si>
  <si>
    <t>SUPERESTRUTURA</t>
  </si>
  <si>
    <t>3.1</t>
  </si>
  <si>
    <t>3.2</t>
  </si>
  <si>
    <t>3.3</t>
  </si>
  <si>
    <t>3.4</t>
  </si>
  <si>
    <t>74.007/002</t>
  </si>
  <si>
    <t>3.5</t>
  </si>
  <si>
    <t>74.202/001</t>
  </si>
  <si>
    <t>4.1</t>
  </si>
  <si>
    <t>4.2</t>
  </si>
  <si>
    <t>ALÇAPÃO METÁLICO (0,70 x 0,70m)</t>
  </si>
  <si>
    <t>74.073/002</t>
  </si>
  <si>
    <t>unid.</t>
  </si>
  <si>
    <t>4.3</t>
  </si>
  <si>
    <t>73.910/006</t>
  </si>
  <si>
    <t>5.1</t>
  </si>
  <si>
    <t>COBERTURA</t>
  </si>
  <si>
    <t>6.1</t>
  </si>
  <si>
    <t>6.2</t>
  </si>
  <si>
    <t>6.3</t>
  </si>
  <si>
    <t>CALHA EM CHAPA GALVANIZADA - CORTE 50cm</t>
  </si>
  <si>
    <t>6.4</t>
  </si>
  <si>
    <t>CONDUTOR DE PVC DIAM. 4"</t>
  </si>
  <si>
    <t>6.5</t>
  </si>
  <si>
    <t>RUFO  TOPO - CORTE 50cm</t>
  </si>
  <si>
    <t>6.6</t>
  </si>
  <si>
    <t>RUFO  PAREDE - CORTE 33cm</t>
  </si>
  <si>
    <t>REVESTIMENTOS</t>
  </si>
  <si>
    <t>7.1</t>
  </si>
  <si>
    <t>CHAPISCO (cimento e areia, traço 1:3)</t>
  </si>
  <si>
    <t>7.2</t>
  </si>
  <si>
    <t>7.3</t>
  </si>
  <si>
    <t>REVESTIMENTO CERÂMICO (20x20cm), com arg.colante e rejunte</t>
  </si>
  <si>
    <t>PINTURA</t>
  </si>
  <si>
    <t>8.1</t>
  </si>
  <si>
    <t>8.2</t>
  </si>
  <si>
    <t>ESMALTE SINTÉTICO PARA METAL</t>
  </si>
  <si>
    <t>73.924/001</t>
  </si>
  <si>
    <t>8.3</t>
  </si>
  <si>
    <t>ESMALTE SINTÉTICO PARA MADEIRAS</t>
  </si>
  <si>
    <t>74.065/003</t>
  </si>
  <si>
    <t>PISO INTERNO</t>
  </si>
  <si>
    <t>9.1</t>
  </si>
  <si>
    <t>REGULARIZAÇÃO E COMPACTAÇÃO DO SOLO</t>
  </si>
  <si>
    <t>9.2</t>
  </si>
  <si>
    <t>9.3</t>
  </si>
  <si>
    <t>REGULARIZAÇÃO COM ARGAMASSA e=3 cm</t>
  </si>
  <si>
    <t>9.4</t>
  </si>
  <si>
    <t>9.5</t>
  </si>
  <si>
    <t>RODAPÉ CERÂMICO h=8 cm</t>
  </si>
  <si>
    <t>10.1</t>
  </si>
  <si>
    <t>PADRÃO DE ENTRADA</t>
  </si>
  <si>
    <t>10.1.1</t>
  </si>
  <si>
    <t>POSTE DE CONCRETO DUPLO "T" - 7,5/200</t>
  </si>
  <si>
    <t>73.783/006</t>
  </si>
  <si>
    <t>conj.</t>
  </si>
  <si>
    <t>10.1.2</t>
  </si>
  <si>
    <t>ELETRODUTO PVC RÍGIDO ROSCÁVEL 2", inclusive acessórios</t>
  </si>
  <si>
    <t>10.1.3</t>
  </si>
  <si>
    <t>ELETRODUTO PVC RÍGIDO ROSCÁVEL 1", inclusive acessórios</t>
  </si>
  <si>
    <t>10.1.4</t>
  </si>
  <si>
    <t>CAIXA DE MEDIÇÃO EXTERNA (90x120x27cm), padrão Eletropaulo</t>
  </si>
  <si>
    <t>10.1.5</t>
  </si>
  <si>
    <t>CAIXA P/ SECCIONADORA TIPO "T" (90x60x25cm), padrão Eletropaulo</t>
  </si>
  <si>
    <t>CPOS 360308</t>
  </si>
  <si>
    <t>10.1.6</t>
  </si>
  <si>
    <t>CABO DE COBRE 70,0 mm², isolamento 750 V - isolação em PVC 70°C</t>
  </si>
  <si>
    <t>10.1.7</t>
  </si>
  <si>
    <t>CABO DE COBRE NU 35,0 mm², têmpera mole, classe 2</t>
  </si>
  <si>
    <t>10.1.8</t>
  </si>
  <si>
    <t>10.1.9</t>
  </si>
  <si>
    <t>FUSÍVEL TIPO NH 1, de 36A a 250A</t>
  </si>
  <si>
    <t>10.1.10</t>
  </si>
  <si>
    <t>HASTE DE ATERRAMENTO DE 5/8´ x 2,40m, inclusive conector</t>
  </si>
  <si>
    <t>10.1.11</t>
  </si>
  <si>
    <t>CAIXA INSPEÇÃO DO TERRA, em PVC rígido, diâm. 300mm- h=250mm</t>
  </si>
  <si>
    <t>CPOS 420531</t>
  </si>
  <si>
    <t>10.1.12</t>
  </si>
  <si>
    <t>TERMINAL DE PRESSÃO/ COMPRESSÃO P/ CABO 70,0 mm²</t>
  </si>
  <si>
    <t>10.1.13</t>
  </si>
  <si>
    <t>TERMINAL DE PRESSÃO/ COMPRESSÃO P/ CABO 35,0 mm²</t>
  </si>
  <si>
    <t>10.2</t>
  </si>
  <si>
    <t>INSTALAÇÕES ELÉTRICAS - ÁREA INTERNA</t>
  </si>
  <si>
    <t>10.2.1</t>
  </si>
  <si>
    <t>CABO FLEX 1,5mm2 PT</t>
  </si>
  <si>
    <t>73.860/007</t>
  </si>
  <si>
    <t>10.2.2</t>
  </si>
  <si>
    <t>CABO FLEX 1,5mm2 AZ</t>
  </si>
  <si>
    <t>10.2.3</t>
  </si>
  <si>
    <t>CABO FLEX 1,5mm2 VD</t>
  </si>
  <si>
    <t>10.2.4</t>
  </si>
  <si>
    <t>CABO FLEX 2,5mm2 PT</t>
  </si>
  <si>
    <t>73.860/008</t>
  </si>
  <si>
    <t>10.2.5</t>
  </si>
  <si>
    <t>CABO FLEX 2,5mm2 AZ</t>
  </si>
  <si>
    <t>10.2.6</t>
  </si>
  <si>
    <t>CABO FLEX 2,5mm2 VD</t>
  </si>
  <si>
    <t>10.2.7</t>
  </si>
  <si>
    <t>CABO FLEX 16mm2 1 KV PT</t>
  </si>
  <si>
    <t>73.860/012</t>
  </si>
  <si>
    <t>10.2.8</t>
  </si>
  <si>
    <t>CABO FLEX 16mm2 1 KV AZ</t>
  </si>
  <si>
    <t>10.2.9</t>
  </si>
  <si>
    <t>CABO FLEX 16mm2 VD OU VD/AM</t>
  </si>
  <si>
    <t>10.2.10</t>
  </si>
  <si>
    <t>CABO DE COBRE NU 16mm2</t>
  </si>
  <si>
    <t>10.2.11</t>
  </si>
  <si>
    <t>FIO TELEFÔNICO - USO INTERNO</t>
  </si>
  <si>
    <t>10.2.12</t>
  </si>
  <si>
    <t>FIO TELEFÔNICO - USO EXTERNO</t>
  </si>
  <si>
    <t>10.2.13</t>
  </si>
  <si>
    <t>TOMADA 2P+T 15A COM TAMPA (110 V)</t>
  </si>
  <si>
    <t>10.2.14</t>
  </si>
  <si>
    <t>TOMADA 220V ALTA (para chuveiro elétrico)</t>
  </si>
  <si>
    <t>10.2.15</t>
  </si>
  <si>
    <t>TOMADA TRIPOLAR</t>
  </si>
  <si>
    <t>10.2.16</t>
  </si>
  <si>
    <t>TOMADA PARA INFORMÁTICA</t>
  </si>
  <si>
    <t>10.2.17</t>
  </si>
  <si>
    <t>TOMADA TELEFÔNICA</t>
  </si>
  <si>
    <t>10.2.18</t>
  </si>
  <si>
    <t>LUMINÁRIA 2x40W FLUORESCENTE - COMPLETA</t>
  </si>
  <si>
    <t>73.953/006</t>
  </si>
  <si>
    <t>10.2.19</t>
  </si>
  <si>
    <t>10.2.20</t>
  </si>
  <si>
    <t>74.094/001</t>
  </si>
  <si>
    <t>10.2.21</t>
  </si>
  <si>
    <t>INTERRUPTOR SIMPLES - 01 TECLA</t>
  </si>
  <si>
    <t>10.2.22</t>
  </si>
  <si>
    <t>10.2.23</t>
  </si>
  <si>
    <t>10.2.24</t>
  </si>
  <si>
    <t>INTERRUPTOR SIMPLES - 03 TECLAS</t>
  </si>
  <si>
    <t>10.2.25</t>
  </si>
  <si>
    <t>QUADRO DE COMANDO TIPO CE COD. 90.11.04</t>
  </si>
  <si>
    <t>10.2.26</t>
  </si>
  <si>
    <t>74.131/006</t>
  </si>
  <si>
    <t>10.2.27</t>
  </si>
  <si>
    <t>DISJUNTOR UNIPOLAR TERMOMAGNÉTICO DIN 10A</t>
  </si>
  <si>
    <t>74.130/001</t>
  </si>
  <si>
    <t>DISJUNTOR BIPOLAR TERMOMAGNÉTICO DIN 16A</t>
  </si>
  <si>
    <t>74.130/003</t>
  </si>
  <si>
    <t>DISJUNTOR TRIPOLAR TERMOMAGNÉTICO DIN 60A</t>
  </si>
  <si>
    <t>74.130/005</t>
  </si>
  <si>
    <t>11.1</t>
  </si>
  <si>
    <t>TUBO PVC MARROM 60 mm, inclusive com conexões</t>
  </si>
  <si>
    <t>11.2</t>
  </si>
  <si>
    <t>TUBO PVC MARROM 25 mm, inclusive com conexões</t>
  </si>
  <si>
    <t>11.3</t>
  </si>
  <si>
    <t>BÓIA 25mm</t>
  </si>
  <si>
    <t>74.058/003</t>
  </si>
  <si>
    <t>74.181/001</t>
  </si>
  <si>
    <t>TANQUE DE ROUPAS, inclusive coluna, válvula e torneira</t>
  </si>
  <si>
    <t>6.021 - 40.729</t>
  </si>
  <si>
    <t>CHUVEIRO ELÉTRICO, inclusive acessórios</t>
  </si>
  <si>
    <t>CAIXA DE GORDURA (SAÍDA 75mm)</t>
  </si>
  <si>
    <t>CAIXA DE INSPEÇÃO 60cm</t>
  </si>
  <si>
    <t>74.104/001</t>
  </si>
  <si>
    <t>TUBO PVC ESGOTO (DIÂMETRO 100 mm), inclusive conexões</t>
  </si>
  <si>
    <t>TUBO PVC ESGOTO (DIÂMETRO 75 mm), inclusive conexões</t>
  </si>
  <si>
    <t>TUBO PVC ESGOTO (DIÂMETRO 50 mm), inclusive conexões</t>
  </si>
  <si>
    <t>TUBO PVC ESGOTO (DIÂMETRO 40 mm), inclusive conexões</t>
  </si>
  <si>
    <t>CAIXA SIFONADA 100mm</t>
  </si>
  <si>
    <t>PREFEITO MUNICIPAL</t>
  </si>
  <si>
    <t>UN.</t>
  </si>
  <si>
    <t>VALOR</t>
  </si>
  <si>
    <t>PRAZO DE EXECUÇÃO DA OBRA</t>
  </si>
  <si>
    <t>(R$)</t>
  </si>
  <si>
    <t>SERVIÇOS GERAIS MAT+M.O.</t>
  </si>
  <si>
    <t>1º MÊS</t>
  </si>
  <si>
    <t>2º MÊS</t>
  </si>
  <si>
    <t>3º MÊS</t>
  </si>
  <si>
    <t>SUBTOTAL</t>
  </si>
  <si>
    <t>TOTAL GERAL (R$)</t>
  </si>
  <si>
    <t>CRONOGRAMA DE DESEMBOLSO</t>
  </si>
  <si>
    <t>RECURSOS MUNICIPAIS - CONTRAPARTIDA P.M.S.A.POSSE</t>
  </si>
  <si>
    <t>RECURSOS TOTAIS (REPASSE + CONTRAPARTIDA)</t>
  </si>
  <si>
    <t xml:space="preserve"> </t>
  </si>
  <si>
    <t>4º MÊS</t>
  </si>
  <si>
    <t>5º MÊS</t>
  </si>
  <si>
    <t xml:space="preserve">CRONOGRAMA FÍSICO- FINANCEIRO </t>
  </si>
  <si>
    <t>6.7</t>
  </si>
  <si>
    <t>73.822/002</t>
  </si>
  <si>
    <t>74.077/003</t>
  </si>
  <si>
    <t>LIMPEZA DE TERRENO - RASPAGEM MECANIZADA</t>
  </si>
  <si>
    <t>1.5</t>
  </si>
  <si>
    <t>74.154/001</t>
  </si>
  <si>
    <t>ESPALHAMENTO DE MATERIAL DE 1ª CATEGORIA</t>
  </si>
  <si>
    <t>74.034/001</t>
  </si>
  <si>
    <t>CONTRAPISO e=5 cm</t>
  </si>
  <si>
    <t>INSTALAÇÕES ELÉTRICAS (MATERIAL E MÃO-DE-OBRA)</t>
  </si>
  <si>
    <t>INSTALAÇÕES HIDRÁULICAS</t>
  </si>
  <si>
    <t>INSTALAÇÕES HIDRÁULICAS (MATERIAL E MÃO-DE-OBRA)</t>
  </si>
  <si>
    <t>RECURSOS FEDERAIS - MINISTÉRIO DA SAÚDE</t>
  </si>
  <si>
    <t>5.2</t>
  </si>
  <si>
    <t>ÁREA EXTERNA</t>
  </si>
  <si>
    <t>12.1</t>
  </si>
  <si>
    <t>12.2</t>
  </si>
  <si>
    <t>12.3</t>
  </si>
  <si>
    <t>12.4</t>
  </si>
  <si>
    <t>7.4</t>
  </si>
  <si>
    <t>7.5</t>
  </si>
  <si>
    <t>MOLDURA DE GESSO PARA ARREMATE LAJE</t>
  </si>
  <si>
    <t>CPOS 222005</t>
  </si>
  <si>
    <t>CONSTRUÇÃO DA U.S.F. BELA VISTA</t>
  </si>
  <si>
    <t>ALAMBRADO  COM MONTANTES METÁLICOS</t>
  </si>
  <si>
    <t>73.768/005</t>
  </si>
  <si>
    <t>CPOS 400445</t>
  </si>
  <si>
    <t>REGISTROS (DIÂMETRO  3/4"), inclusive acabamento</t>
  </si>
  <si>
    <r>
      <t>REGISTROS (DIÂMETRO  2</t>
    </r>
    <r>
      <rPr>
        <sz val="9"/>
        <rFont val="Arial"/>
        <family val="2"/>
      </rPr>
      <t>"), inclusive acabamento</t>
    </r>
  </si>
  <si>
    <t>74.051/001</t>
  </si>
  <si>
    <t>74.244/001</t>
  </si>
  <si>
    <t>DR. MAURÍCIO DIMAS COMISSO</t>
  </si>
  <si>
    <t>73.965/010</t>
  </si>
  <si>
    <t>EMBOÇO PAULISTA (cimento, cal e areia, traço 1:2:9)</t>
  </si>
  <si>
    <t>73.907/003</t>
  </si>
  <si>
    <t>CPOS 360306</t>
  </si>
  <si>
    <t>S  00020272</t>
  </si>
  <si>
    <t>ABERTURA DE VALAS  E BLOCOS - FUND. CONTRA BARRANCO</t>
  </si>
  <si>
    <t>AÇO CA50A (BALDRAMES E BLOCOS)</t>
  </si>
  <si>
    <t>LAJE PRÉ-MOLDADA B12 (c/ escoramento,capa,armação): COMPLETA</t>
  </si>
  <si>
    <t>TELHAMENTO EM FIBROCIMENTO - TIPO ONDULADA 6mm</t>
  </si>
  <si>
    <t>8.4</t>
  </si>
  <si>
    <t>ESMALTE SINTÉTICO PARA MASSA - PAREDES</t>
  </si>
  <si>
    <t>BACIA SANITÁRIA, com válvula de descarga</t>
  </si>
  <si>
    <t>BACIA SANITÁRIA P.C.D., com válvula de descarga</t>
  </si>
  <si>
    <t xml:space="preserve">ASSENTO PLÁSTICO PARA BACIA SANITÁRIA </t>
  </si>
  <si>
    <t>ASSENTO PLÁSTICO PARA BACIA SANITÁRIA P.C.D.</t>
  </si>
  <si>
    <t>CONCRETO FCK 25 Mpa, inclusive lançamento e adensamento</t>
  </si>
  <si>
    <t>74.138/003</t>
  </si>
  <si>
    <t>74.005/001</t>
  </si>
  <si>
    <t>COMPACTAÇÃO MECANIZADA, SEM CONTROLE</t>
  </si>
  <si>
    <t>73.910/007</t>
  </si>
  <si>
    <t>73.910/009</t>
  </si>
  <si>
    <t>LATEX ACRÍLICO, COM FUNDO SELADOR</t>
  </si>
  <si>
    <t>CPOS 331004</t>
  </si>
  <si>
    <t>quantidades</t>
  </si>
  <si>
    <t>COBERTURA POLICARBONATO ALVEOLAR 10mm, incluso estrutura fixação</t>
  </si>
  <si>
    <t>CPOS 163212</t>
  </si>
  <si>
    <t>ESTRUTURA PONTALETADA PARA TELHA ONDULADA</t>
  </si>
  <si>
    <t>VALORES (R$)</t>
  </si>
  <si>
    <t>12.1.1</t>
  </si>
  <si>
    <t>12.1.2</t>
  </si>
  <si>
    <t>ABERTURA DE VALAS - FUND. CONTRA BARRANCO</t>
  </si>
  <si>
    <t>ALVENARIA BLOCO CONCRETO VEDAÇÃO (14X19X39cm) - APARENTE</t>
  </si>
  <si>
    <t>PINTURA ACRÍLICA PARA MUROS  TIPO "NOVACOR"</t>
  </si>
  <si>
    <t>12.2.1</t>
  </si>
  <si>
    <t>12.2.2</t>
  </si>
  <si>
    <t>12.3.1</t>
  </si>
  <si>
    <t>12.3.2</t>
  </si>
  <si>
    <t>JARDINAGEM</t>
  </si>
  <si>
    <t>12.4.1</t>
  </si>
  <si>
    <t>12.3.3</t>
  </si>
  <si>
    <t>INSTALAÇÕES ESPECIAIS PARA P.C.D.</t>
  </si>
  <si>
    <t>11.2.1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</si>
  <si>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</si>
  <si>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</si>
  <si>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</si>
  <si>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</si>
  <si>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</si>
  <si>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</si>
  <si>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</si>
  <si>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</si>
  <si>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</si>
  <si>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</si>
  <si>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</si>
  <si>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</si>
  <si>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11.1.13</t>
  </si>
  <si>
    <t>11.1.14</t>
  </si>
  <si>
    <t>11.2.2</t>
  </si>
  <si>
    <t>11.2.3</t>
  </si>
  <si>
    <t>11.2.4</t>
  </si>
  <si>
    <t>11.2.5</t>
  </si>
  <si>
    <t>11.2.6</t>
  </si>
  <si>
    <t>CPOS 300103</t>
  </si>
  <si>
    <t>CPOS 300105</t>
  </si>
  <si>
    <t>CPOS 300113</t>
  </si>
  <si>
    <t>CPOS 300102</t>
  </si>
  <si>
    <t>5.3</t>
  </si>
  <si>
    <t>5.4</t>
  </si>
  <si>
    <t>ESQUADRIAS DE MADEIRA, ALUMÍNIO E FERRO</t>
  </si>
  <si>
    <t>ESQUADRIAS DE MADEIRA</t>
  </si>
  <si>
    <t>ESQUADRIAS DE ALUMÍNIO</t>
  </si>
  <si>
    <t>ESQUADRIAS DE FERRO</t>
  </si>
  <si>
    <t>4.1.1</t>
  </si>
  <si>
    <t>4.1.2</t>
  </si>
  <si>
    <t>4.1.3</t>
  </si>
  <si>
    <t>4.1.4</t>
  </si>
  <si>
    <t>4.1.5</t>
  </si>
  <si>
    <t>PM 01: PORTA MADEIRA LISA COMPLETA (0,80x2,10m) (A=1,68m2)</t>
  </si>
  <si>
    <t>PM 02: PORTA MADEIRA LISA COMPLETA (0,90x2,10m) (A=1,89m2)</t>
  </si>
  <si>
    <t>PM 04: PORTA MADEIRA LISA COMPLETA (1,00x2,10m) (A=2,10m2)</t>
  </si>
  <si>
    <t>PM 05: PORTA MADEIRA LISA COMPLETA (1,20x2,10m) (A=2,52m2)</t>
  </si>
  <si>
    <t>CPOS 230824</t>
  </si>
  <si>
    <t>PM 03: PORTA MADEIRA LISA COMPLETA (0,9x2,1=1,89m²) - CORRER</t>
  </si>
  <si>
    <t>CPOS 230911</t>
  </si>
  <si>
    <t>4.2.1</t>
  </si>
  <si>
    <t>PA 01: PORTA DE ALUMÍNIO VENEZIANA - ABRIR (A=2,52m²)</t>
  </si>
  <si>
    <t>74.071/ 002</t>
  </si>
  <si>
    <t>4.2.2</t>
  </si>
  <si>
    <t>4.2.3</t>
  </si>
  <si>
    <t>CPOS 250111</t>
  </si>
  <si>
    <t>4.3.1</t>
  </si>
  <si>
    <t>4.3.2</t>
  </si>
  <si>
    <t>4.3.3</t>
  </si>
  <si>
    <t>4.3.4</t>
  </si>
  <si>
    <t>cpos260206/ 282060</t>
  </si>
  <si>
    <t>262022/ 262023</t>
  </si>
  <si>
    <t>PROJETO</t>
  </si>
  <si>
    <t>mantidas do</t>
  </si>
  <si>
    <t>P</t>
  </si>
  <si>
    <t>APARELHOS SANITÁRIOS</t>
  </si>
  <si>
    <t>TORNEIRA DE MESA P/ LAVATÓRIO, acionamento hidromecânico, DN= 1/2"</t>
  </si>
  <si>
    <t>CPOS 440348</t>
  </si>
  <si>
    <t>11.2.7</t>
  </si>
  <si>
    <t>11.2.8</t>
  </si>
  <si>
    <t>11.2.9</t>
  </si>
  <si>
    <t>TORNEIRA DE PAREDE ANTIVANDALISMO, DN= 3/4"</t>
  </si>
  <si>
    <t>CPOS 440351</t>
  </si>
  <si>
    <t>11.3.1</t>
  </si>
  <si>
    <t>11.3.2</t>
  </si>
  <si>
    <t>11.3.3</t>
  </si>
  <si>
    <t>11.3.4</t>
  </si>
  <si>
    <t>11.3.5</t>
  </si>
  <si>
    <t>11.3.6</t>
  </si>
  <si>
    <t>CPOS 480230</t>
  </si>
  <si>
    <t>SINAPI / CPOS</t>
  </si>
  <si>
    <t>SANTO ANTONIO DE POSSE - SP</t>
  </si>
  <si>
    <t>RESPONSÁVEL PELA FISCALIZAÇÃO DO CONVÊNIO</t>
  </si>
  <si>
    <t>ARANDELA 100 W USO EXTERNO - COMPLETA</t>
  </si>
  <si>
    <t>74.041/002</t>
  </si>
  <si>
    <t>LUMINÁRIA 100 W USO INTERNO - COMPLETA (SPOT PARA TETO)</t>
  </si>
  <si>
    <t>QUADRO DE DISTRIBUIÇÃO 32 DIN QDETN-32</t>
  </si>
  <si>
    <t>CPOS 300802</t>
  </si>
  <si>
    <t>TAMPO/BANCADA GRANITO POLIDO(L=60cm),c/ frontão, saia, arremates</t>
  </si>
  <si>
    <t>CPOS 440221</t>
  </si>
  <si>
    <t>ESCAVAÇÃO, CARGA E TRANSPORTE DE MATERIAL</t>
  </si>
  <si>
    <t>DESCRIÇÃO DAS ATIVIDADES</t>
  </si>
  <si>
    <t>6º MÊS</t>
  </si>
  <si>
    <t>(180 DIAS)</t>
  </si>
  <si>
    <r>
      <t>PROPRIETÁRIO:</t>
    </r>
    <r>
      <rPr>
        <sz val="10"/>
        <rFont val="Times New Roman"/>
        <family val="1"/>
      </rPr>
      <t xml:space="preserve"> PREFEITURA MUNICIPAL DE SANTO ANTONIO DE POSSE</t>
    </r>
  </si>
  <si>
    <t>REPASSE</t>
  </si>
  <si>
    <t>POSSE</t>
  </si>
  <si>
    <t>ESTACA ESCAV.MECAN. (D=25cm),c/ escav,armação,concreto: COMPLETA</t>
  </si>
  <si>
    <t xml:space="preserve">ALVENARIA BLOCO CERÂMICO VEDAÇÃO-normatizado (14x19x29cm) </t>
  </si>
  <si>
    <t>73.933/001</t>
  </si>
  <si>
    <t>88485-88489</t>
  </si>
  <si>
    <t>CHAVE SECCIONADORA, tripolar, c/ prolongador, s/ porta-fusível, de 200A</t>
  </si>
  <si>
    <t>LAVATÓRIO LOUÇA COM COLUNA SUSPENSA, incluso válvula,sifão,engate</t>
  </si>
  <si>
    <t>CUBA DE AÇO INOXIDÁVEL, MÉDIA, incluso válvula, sifão e engate</t>
  </si>
  <si>
    <t>74245/001</t>
  </si>
  <si>
    <t>FORMA DE MADEIRA P/ CONCRETO ARMADO</t>
  </si>
  <si>
    <t>PISO CERÂMICO (45x45cm), PEI-5, c/ cimento-cola</t>
  </si>
  <si>
    <t>ENG° RÓBISON GOMES DA SILVA</t>
  </si>
  <si>
    <t xml:space="preserve">AUTOR DO ORÇAMENTO </t>
  </si>
  <si>
    <t>73.932/001</t>
  </si>
  <si>
    <t>CPOS 170102</t>
  </si>
  <si>
    <t>CPOS 480208</t>
  </si>
  <si>
    <t>RESERVATÓRIO DE  FIBRA DE VIDRO- CAP. 1.500 L, C/ COLOCAÇÃO</t>
  </si>
  <si>
    <t>cpos300801-S.40729</t>
  </si>
  <si>
    <t>DATA REFERÊNCIA: TABELA SINAPI 07/2015 (desonerada) / BOLETIM CPOS 165</t>
  </si>
  <si>
    <t>2.6</t>
  </si>
  <si>
    <t>FORMA DE MADEIRA P/ CONCRETO ARMADO - INFRA</t>
  </si>
  <si>
    <t>AÇO CA50A (TAXA 60kg/m2)</t>
  </si>
  <si>
    <t>PA 02: PORTA DE ALUMÍNIO VENEZIANA - ABRIR (A=1,15m²) x 2conjuntos</t>
  </si>
  <si>
    <t>GA 01: GUICHÊ DE ALUMÍNIO GUILHOTINA (A= 0,60x1,00=0,60m²)</t>
  </si>
  <si>
    <t>4.3.5</t>
  </si>
  <si>
    <t>JA-01: JANELA BASCULANTE C/VIDRO CANELADO (1,00x0,80m) x 08 conj.</t>
  </si>
  <si>
    <t>JA-02: JANELA BASCULANTE C/VIDRO CANELADO (2,00x0,80m) x 09 conj.</t>
  </si>
  <si>
    <t>JA-03: JANELA BASCULANTE C/VIDRO CANELADO (0,45x2,00m) x 01 conj.</t>
  </si>
  <si>
    <t>JA-04: JANELA BASCULANTE C/VIDRO CANELADO (1,45x0,80m) x 02 conj.</t>
  </si>
  <si>
    <t>4.3.6</t>
  </si>
  <si>
    <t>JA-05: JANELA BASCULANTE C/VIDRO CANELADO (0,35x2,00m) x 01 conj.</t>
  </si>
  <si>
    <t>JA-06: JANELA BASCULANTE C/VIDRO CANELADO (0,95x0,80m) x 01 conj.</t>
  </si>
  <si>
    <t>4.3.7</t>
  </si>
  <si>
    <t>4.3.8</t>
  </si>
  <si>
    <t>PT-03: PORTÃO DE FERRO DE CORRER (4,00x2,00m)  x 02 conj.</t>
  </si>
  <si>
    <t>GRADIL DE FERRO  - PADRÃO P.M.S.A.POSSE</t>
  </si>
  <si>
    <t>VIDROS</t>
  </si>
  <si>
    <t>VIDRO CANELADO</t>
  </si>
  <si>
    <t>PV 01:PORTA VIDRO TEMPERADO ABRIR (10mm): (1,00x2,10m=2,10m2)</t>
  </si>
  <si>
    <t>CV 01: CONJ. VIDRO TEMPERADO ABRIR/FIXO (10mm): (1,80x2,60=4,68m)</t>
  </si>
  <si>
    <t>PSF RECREIO</t>
  </si>
  <si>
    <t>CPOS 240104</t>
  </si>
  <si>
    <t>CPOS 260123</t>
  </si>
  <si>
    <t>CV 02: CONJ. VIDRO TEMPERADO CORRER/FIXO(10mm): (4,4x2,8=12,32m)</t>
  </si>
  <si>
    <t>RODAMEIO EM MADEIRA APARELHADA E ENVERNIZADA (A=7cm)</t>
  </si>
  <si>
    <t>CPOS 201004</t>
  </si>
  <si>
    <t>CPOS 442028</t>
  </si>
  <si>
    <t>PISO CIMENTADO: ENTORNO DA EDIFICAÇÃO E CALÇADA</t>
  </si>
  <si>
    <t>FECHAMENTOS METÁLICOS</t>
  </si>
  <si>
    <t>BROCAS (D=25cm), incluso escavação, armação,concreto: COMPLETA</t>
  </si>
  <si>
    <t>MURO COM GRADIL</t>
  </si>
  <si>
    <t>12.2.3</t>
  </si>
  <si>
    <t>12.2.4</t>
  </si>
  <si>
    <t>12.2.5</t>
  </si>
  <si>
    <t>12.2.6</t>
  </si>
  <si>
    <t>12.2.7</t>
  </si>
  <si>
    <t>12.3.4</t>
  </si>
  <si>
    <t>12.3.5</t>
  </si>
  <si>
    <t>TOTAL ITEM 12</t>
  </si>
  <si>
    <t>12.4.2</t>
  </si>
  <si>
    <t>12.5</t>
  </si>
  <si>
    <t>12.5.1</t>
  </si>
  <si>
    <t>MURO EXTERNO FECHADO (16,00 x 2,00M)</t>
  </si>
  <si>
    <t>73.933/002</t>
  </si>
  <si>
    <t>PT-02: PORTÃO DE FERRO - ABRIR 1 FOLHA (1,5x2=3,0m2)  (01 conj.)</t>
  </si>
  <si>
    <t>PT-03: PORTÃO DE FERRO - CORRER 1 FOLHA  (3,5x2=7m2)  (02 conj.)</t>
  </si>
  <si>
    <t>PT-01: PORTÃO DE FERRO - ABRIR 2 FOLHAS  (2x2=4m2)  (01 conj.)</t>
  </si>
  <si>
    <t>TOTAL GERAL (COM BDI)</t>
  </si>
  <si>
    <t>TOTAL GERAL (SEM BDI) (R$)</t>
  </si>
  <si>
    <t>BARRA RETA P/ P.C.D., EM TUBO AÇO INOXIDÁVEL 1 1/2´ x 800 mm</t>
  </si>
  <si>
    <t>BARRA APOIO 90° P.C.D., ]TUBO AÇO INOXIDÁVEL 1 1/2´x800x800mm</t>
  </si>
  <si>
    <t>BARRA PROTEÇÃO LAVAT. P.C.D., EM TUBO ALUMÍNIO C/ PINT.EPÓXI</t>
  </si>
  <si>
    <t>BARRA ]RETA P/ P.C.D., EM TUBO AÇO INOXIDÁVEL 1 1/2´ x 500 mm</t>
  </si>
  <si>
    <t>antioxidante e proteção contra raios UV - CAP. 5.000 L, ICOM COLOCAÇÃO</t>
  </si>
  <si>
    <t>RESERVATÓRIO EM POLIETILENO DE ALTA DENSIDADE - CISTERNA,</t>
  </si>
  <si>
    <r>
      <t xml:space="preserve"> OBRA:</t>
    </r>
    <r>
      <rPr>
        <sz val="10"/>
        <rFont val="Times New Roman"/>
        <family val="1"/>
      </rPr>
      <t xml:space="preserve"> CONSTRUÇÃO DE UNIDADE BÁSICA DE SAÚDE - U.B.S. CENTRO</t>
    </r>
  </si>
  <si>
    <r>
      <t xml:space="preserve">LOCAL: </t>
    </r>
    <r>
      <rPr>
        <sz val="10"/>
        <rFont val="Times New Roman"/>
        <family val="1"/>
      </rPr>
      <t>SANTO ANTONIO DE POSSE - SP</t>
    </r>
  </si>
  <si>
    <t>CONSTRUÇÃO DA U.B.S. CENTRO</t>
  </si>
  <si>
    <t>INSTALAÇÕES ELÉTRICAS</t>
  </si>
  <si>
    <t>INSTALAÇÕES ELÉTRICAS - MATERIAL E M.OBRA</t>
  </si>
  <si>
    <t>INSTALAÇÕES HIDRÁULICAS - MATERIAL E M.OBRA</t>
  </si>
  <si>
    <t>MURO EXTERNO FECHADO</t>
  </si>
  <si>
    <t>PISO CIMENTADO</t>
  </si>
  <si>
    <t xml:space="preserve">           TOTAL GERAL SEM BDI(R$)</t>
  </si>
  <si>
    <t>2.7</t>
  </si>
  <si>
    <t>CPOS 061104</t>
  </si>
  <si>
    <t>REATERRO APILOADO INTERNO COM COMPATAÇÃO</t>
  </si>
  <si>
    <r>
      <t xml:space="preserve">LOCAL: </t>
    </r>
    <r>
      <rPr>
        <sz val="10"/>
        <rFont val="Times New Roman"/>
        <family val="1"/>
      </rPr>
      <t>SANTO ANTONIO DE POSSE-SP</t>
    </r>
  </si>
  <si>
    <t>sobre PSF RECREIO</t>
  </si>
  <si>
    <t>acrescentamos 10%</t>
  </si>
  <si>
    <t>7.6</t>
  </si>
  <si>
    <t>CANTONEIRA ALUMÍNIO P/ ARREMATE AZULEJOS (COR BRANCA)</t>
  </si>
  <si>
    <t>73.908/002</t>
  </si>
  <si>
    <t>12.3.6</t>
  </si>
  <si>
    <t>12.3.7</t>
  </si>
  <si>
    <t>12.3.8</t>
  </si>
  <si>
    <t>12.3.9</t>
  </si>
  <si>
    <t>12.4.3</t>
  </si>
  <si>
    <t>12.4.4</t>
  </si>
  <si>
    <t>12.4.5</t>
  </si>
  <si>
    <t>12.5.2</t>
  </si>
  <si>
    <t>12.6</t>
  </si>
  <si>
    <t>12.6.1</t>
  </si>
  <si>
    <t>CPOS 031014</t>
  </si>
  <si>
    <t>REMOÇÃO DE PINTURA EM MASSA COM LIXAMENTO</t>
  </si>
  <si>
    <t>PLANTIO DE GRAMA - ESPÉCIE "ESMERALDA" (inclusive talude)</t>
  </si>
  <si>
    <t>MURO EXISTENTE (PINTURA)</t>
  </si>
  <si>
    <t>MURO EXISTENTE - PINTURA - H=1,80m</t>
  </si>
  <si>
    <t>BDI ADOTADO= 8,5%</t>
  </si>
  <si>
    <t>B.D.I.ADOTADO : 8,5%</t>
  </si>
  <si>
    <t xml:space="preserve">          BDI 8,5% (R$)</t>
  </si>
  <si>
    <t xml:space="preserve">           TOTAL GERAL COM BDI (R$)</t>
  </si>
  <si>
    <t>BDI ADOTADO: 8,5%</t>
  </si>
  <si>
    <t>OBRA: CONSTRUÇÃO DE UNIDADE BÁSICA DE SAÚDE - U.B.S. RESIDENCIAL DOS LAGOS</t>
  </si>
  <si>
    <t xml:space="preserve">LOCAL: AV. LUCIA APARECIDA G. LALA- RESIDENCIAL DOS LAGOS    </t>
  </si>
  <si>
    <r>
      <t xml:space="preserve"> OBRA:</t>
    </r>
    <r>
      <rPr>
        <sz val="10"/>
        <rFont val="Times New Roman"/>
        <family val="1"/>
      </rPr>
      <t xml:space="preserve"> CONSTRUÇÃO DE UNIDADE BÁSICA DE SAÚDE - U.B.S. RESIDENCIAL DOS LAGOS</t>
    </r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</si>
</sst>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Cr$&quot;* #,##0.00_);_(&quot;Cr$&quot;* \(#,##0.00\);_(&quot;Cr$&quot;* &quot;-&quot;??_);_(@_)"/>
    <numFmt numFmtId="173" formatCode="_(&quot;Cr$&quot;* #,##0_);_(&quot;Cr$&quot;* \(#,##0\);_(&quot;Cr$&quot;* &quot;-&quot;_);_(@_)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_(&quot;R$ &quot;* #,##0.00_);_(&quot;R$ &quot;* \(#,##0.00\);_(&quot;R$ &quot;* &quot;-&quot;_);_(@_)"/>
    <numFmt numFmtId="179" formatCode="_(* #,##0.000000000000_);_(* \(#,##0.000000000000\);_(* &quot;-&quot;??_);_(@_)"/>
    <numFmt numFmtId="180" formatCode="0.0"/>
    <numFmt numFmtId="181" formatCode="0.000"/>
    <numFmt numFmtId="182" formatCode="000000"/>
    <numFmt numFmtId="183" formatCode="0.00000"/>
    <numFmt numFmtId="184" formatCode="0.000000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8"/>
      <name val="Arial"/>
      <family val="2"/>
    </font>
    <font>
      <b/>
      <sz val="9"/>
      <color indexed="12"/>
      <name val="Times New Roman"/>
      <family val="1"/>
    </font>
    <font>
      <b/>
      <sz val="7"/>
      <name val="Arial"/>
      <family val="2"/>
    </font>
    <font>
      <sz val="9"/>
      <name val="Arial"/>
      <family val="2"/>
    </font>
    <font>
      <sz val="8"/>
      <color indexed="12"/>
      <name val="Times New Roman"/>
      <family val="1"/>
    </font>
    <font>
      <b/>
      <sz val="8"/>
      <name val="Times New Roman"/>
      <family val="1"/>
    </font>
    <font>
      <b/>
      <sz val="10"/>
      <color indexed="12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2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sz val="7"/>
      <color indexed="20"/>
      <name val="Arial"/>
      <family val="2"/>
    </font>
    <font>
      <b/>
      <sz val="7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 diagonalUp="1">
      <left style="thin"/>
      <right style="thin"/>
      <top style="double"/>
      <bottom style="double"/>
      <diagonal style="thin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1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3" fillId="31" borderId="0" applyNumberFormat="0" applyBorder="0" applyAlignment="0" applyProtection="0"/>
    <xf numFmtId="0" fontId="18" fillId="0" borderId="0">
      <alignment/>
      <protection/>
    </xf>
    <xf numFmtId="0" fontId="1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</cellStyleXfs>
  <cellXfs count="40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1" fontId="2" fillId="0" borderId="0" xfId="54" applyFont="1" applyAlignment="1">
      <alignment/>
    </xf>
    <xf numFmtId="0" fontId="5" fillId="0" borderId="0" xfId="0" applyFont="1" applyAlignment="1">
      <alignment/>
    </xf>
    <xf numFmtId="171" fontId="4" fillId="0" borderId="10" xfId="54" applyFont="1" applyBorder="1" applyAlignment="1">
      <alignment horizontal="center" vertical="center"/>
    </xf>
    <xf numFmtId="171" fontId="4" fillId="0" borderId="0" xfId="54" applyFont="1" applyBorder="1" applyAlignment="1">
      <alignment horizontal="center" vertical="center"/>
    </xf>
    <xf numFmtId="171" fontId="4" fillId="0" borderId="11" xfId="54" applyFont="1" applyBorder="1" applyAlignment="1">
      <alignment horizontal="center" vertical="center"/>
    </xf>
    <xf numFmtId="171" fontId="6" fillId="0" borderId="0" xfId="54" applyFont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171" fontId="7" fillId="0" borderId="14" xfId="54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71" fontId="2" fillId="0" borderId="16" xfId="54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171" fontId="2" fillId="0" borderId="16" xfId="54" applyFont="1" applyBorder="1" applyAlignment="1">
      <alignment/>
    </xf>
    <xf numFmtId="171" fontId="2" fillId="0" borderId="17" xfId="54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171" fontId="2" fillId="0" borderId="20" xfId="54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171" fontId="2" fillId="0" borderId="20" xfId="54" applyFont="1" applyFill="1" applyBorder="1" applyAlignment="1">
      <alignment/>
    </xf>
    <xf numFmtId="171" fontId="7" fillId="33" borderId="21" xfId="54" applyFont="1" applyFill="1" applyBorder="1" applyAlignment="1">
      <alignment/>
    </xf>
    <xf numFmtId="0" fontId="9" fillId="0" borderId="16" xfId="0" applyFont="1" applyBorder="1" applyAlignment="1">
      <alignment/>
    </xf>
    <xf numFmtId="3" fontId="10" fillId="0" borderId="16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9" fillId="0" borderId="22" xfId="0" applyFont="1" applyBorder="1" applyAlignment="1">
      <alignment/>
    </xf>
    <xf numFmtId="3" fontId="10" fillId="0" borderId="22" xfId="0" applyNumberFormat="1" applyFont="1" applyFill="1" applyBorder="1" applyAlignment="1">
      <alignment horizontal="center"/>
    </xf>
    <xf numFmtId="171" fontId="2" fillId="0" borderId="22" xfId="54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171" fontId="2" fillId="0" borderId="22" xfId="54" applyFont="1" applyBorder="1" applyAlignment="1">
      <alignment/>
    </xf>
    <xf numFmtId="171" fontId="2" fillId="0" borderId="23" xfId="54" applyFont="1" applyBorder="1" applyAlignment="1">
      <alignment/>
    </xf>
    <xf numFmtId="0" fontId="10" fillId="0" borderId="20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0" fillId="0" borderId="20" xfId="0" applyFont="1" applyBorder="1" applyAlignment="1">
      <alignment/>
    </xf>
    <xf numFmtId="171" fontId="2" fillId="0" borderId="20" xfId="54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171" fontId="2" fillId="0" borderId="20" xfId="54" applyFont="1" applyBorder="1" applyAlignment="1">
      <alignment/>
    </xf>
    <xf numFmtId="0" fontId="2" fillId="0" borderId="15" xfId="0" applyFont="1" applyFill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171" fontId="2" fillId="0" borderId="16" xfId="54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171" fontId="2" fillId="0" borderId="17" xfId="54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171" fontId="2" fillId="0" borderId="16" xfId="54" applyFont="1" applyFill="1" applyBorder="1" applyAlignment="1">
      <alignment horizontal="right"/>
    </xf>
    <xf numFmtId="0" fontId="9" fillId="0" borderId="22" xfId="0" applyFont="1" applyFill="1" applyBorder="1" applyAlignment="1">
      <alignment/>
    </xf>
    <xf numFmtId="0" fontId="12" fillId="0" borderId="20" xfId="0" applyFont="1" applyBorder="1" applyAlignment="1">
      <alignment horizontal="center"/>
    </xf>
    <xf numFmtId="171" fontId="0" fillId="0" borderId="0" xfId="0" applyNumberForma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1" fontId="7" fillId="0" borderId="0" xfId="54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1" fontId="2" fillId="0" borderId="0" xfId="54" applyFont="1" applyFill="1" applyBorder="1" applyAlignment="1">
      <alignment/>
    </xf>
    <xf numFmtId="0" fontId="0" fillId="0" borderId="0" xfId="0" applyFill="1" applyAlignment="1">
      <alignment/>
    </xf>
    <xf numFmtId="3" fontId="15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34" borderId="15" xfId="0" applyFont="1" applyFill="1" applyBorder="1" applyAlignment="1">
      <alignment horizontal="center"/>
    </xf>
    <xf numFmtId="0" fontId="8" fillId="34" borderId="16" xfId="0" applyFont="1" applyFill="1" applyBorder="1" applyAlignment="1">
      <alignment/>
    </xf>
    <xf numFmtId="171" fontId="2" fillId="34" borderId="16" xfId="54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/>
    </xf>
    <xf numFmtId="171" fontId="2" fillId="34" borderId="16" xfId="54" applyFont="1" applyFill="1" applyBorder="1" applyAlignment="1">
      <alignment/>
    </xf>
    <xf numFmtId="171" fontId="2" fillId="34" borderId="17" xfId="54" applyFont="1" applyFill="1" applyBorder="1" applyAlignment="1">
      <alignment/>
    </xf>
    <xf numFmtId="0" fontId="7" fillId="35" borderId="26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171" fontId="7" fillId="35" borderId="27" xfId="54" applyFont="1" applyFill="1" applyBorder="1" applyAlignment="1">
      <alignment/>
    </xf>
    <xf numFmtId="0" fontId="7" fillId="35" borderId="27" xfId="0" applyFont="1" applyFill="1" applyBorder="1" applyAlignment="1">
      <alignment horizontal="center"/>
    </xf>
    <xf numFmtId="171" fontId="2" fillId="35" borderId="28" xfId="54" applyFont="1" applyFill="1" applyBorder="1" applyAlignment="1">
      <alignment/>
    </xf>
    <xf numFmtId="0" fontId="7" fillId="35" borderId="29" xfId="0" applyFont="1" applyFill="1" applyBorder="1" applyAlignment="1">
      <alignment horizontal="center"/>
    </xf>
    <xf numFmtId="0" fontId="8" fillId="35" borderId="30" xfId="0" applyFont="1" applyFill="1" applyBorder="1" applyAlignment="1">
      <alignment/>
    </xf>
    <xf numFmtId="0" fontId="12" fillId="35" borderId="30" xfId="0" applyFont="1" applyFill="1" applyBorder="1" applyAlignment="1">
      <alignment/>
    </xf>
    <xf numFmtId="0" fontId="2" fillId="35" borderId="30" xfId="0" applyFont="1" applyFill="1" applyBorder="1" applyAlignment="1">
      <alignment horizontal="center"/>
    </xf>
    <xf numFmtId="171" fontId="2" fillId="35" borderId="30" xfId="54" applyFont="1" applyFill="1" applyBorder="1" applyAlignment="1">
      <alignment/>
    </xf>
    <xf numFmtId="0" fontId="7" fillId="34" borderId="29" xfId="0" applyFont="1" applyFill="1" applyBorder="1" applyAlignment="1">
      <alignment horizontal="center"/>
    </xf>
    <xf numFmtId="0" fontId="8" fillId="34" borderId="30" xfId="0" applyFont="1" applyFill="1" applyBorder="1" applyAlignment="1">
      <alignment/>
    </xf>
    <xf numFmtId="0" fontId="12" fillId="34" borderId="30" xfId="0" applyFont="1" applyFill="1" applyBorder="1" applyAlignment="1">
      <alignment/>
    </xf>
    <xf numFmtId="171" fontId="2" fillId="34" borderId="30" xfId="54" applyFont="1" applyFill="1" applyBorder="1" applyAlignment="1">
      <alignment horizontal="right"/>
    </xf>
    <xf numFmtId="0" fontId="2" fillId="34" borderId="30" xfId="0" applyFont="1" applyFill="1" applyBorder="1" applyAlignment="1">
      <alignment horizontal="center"/>
    </xf>
    <xf numFmtId="171" fontId="2" fillId="34" borderId="30" xfId="54" applyFont="1" applyFill="1" applyBorder="1" applyAlignment="1">
      <alignment/>
    </xf>
    <xf numFmtId="171" fontId="2" fillId="34" borderId="28" xfId="54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8" fillId="34" borderId="3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171" fontId="2" fillId="36" borderId="33" xfId="54" applyFont="1" applyFill="1" applyBorder="1" applyAlignment="1">
      <alignment/>
    </xf>
    <xf numFmtId="0" fontId="2" fillId="36" borderId="33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/>
    </xf>
    <xf numFmtId="17" fontId="2" fillId="0" borderId="0" xfId="0" applyNumberFormat="1" applyFont="1" applyBorder="1" applyAlignment="1">
      <alignment horizontal="center" vertical="top"/>
    </xf>
    <xf numFmtId="17" fontId="2" fillId="0" borderId="0" xfId="0" applyNumberFormat="1" applyFont="1" applyBorder="1" applyAlignment="1">
      <alignment/>
    </xf>
    <xf numFmtId="171" fontId="2" fillId="0" borderId="0" xfId="54" applyFont="1" applyBorder="1" applyAlignment="1">
      <alignment/>
    </xf>
    <xf numFmtId="0" fontId="2" fillId="0" borderId="0" xfId="0" applyFont="1" applyBorder="1" applyAlignment="1">
      <alignment/>
    </xf>
    <xf numFmtId="0" fontId="7" fillId="36" borderId="12" xfId="0" applyFont="1" applyFill="1" applyBorder="1" applyAlignment="1">
      <alignment horizontal="center"/>
    </xf>
    <xf numFmtId="0" fontId="23" fillId="36" borderId="33" xfId="0" applyFont="1" applyFill="1" applyBorder="1" applyAlignment="1">
      <alignment horizontal="center"/>
    </xf>
    <xf numFmtId="171" fontId="7" fillId="36" borderId="12" xfId="54" applyFont="1" applyFill="1" applyBorder="1" applyAlignment="1">
      <alignment horizontal="center"/>
    </xf>
    <xf numFmtId="0" fontId="23" fillId="36" borderId="12" xfId="0" applyFont="1" applyFill="1" applyBorder="1" applyAlignment="1">
      <alignment horizontal="center"/>
    </xf>
    <xf numFmtId="172" fontId="8" fillId="36" borderId="35" xfId="0" applyNumberFormat="1" applyFont="1" applyFill="1" applyBorder="1" applyAlignment="1">
      <alignment/>
    </xf>
    <xf numFmtId="172" fontId="23" fillId="36" borderId="36" xfId="0" applyNumberFormat="1" applyFont="1" applyFill="1" applyBorder="1" applyAlignment="1">
      <alignment horizontal="center"/>
    </xf>
    <xf numFmtId="171" fontId="7" fillId="36" borderId="35" xfId="54" applyFont="1" applyFill="1" applyBorder="1" applyAlignment="1">
      <alignment horizontal="center"/>
    </xf>
    <xf numFmtId="0" fontId="7" fillId="36" borderId="35" xfId="0" applyFont="1" applyFill="1" applyBorder="1" applyAlignment="1">
      <alignment horizontal="center"/>
    </xf>
    <xf numFmtId="172" fontId="23" fillId="36" borderId="35" xfId="0" applyNumberFormat="1" applyFont="1" applyFill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171" fontId="4" fillId="0" borderId="35" xfId="54" applyFont="1" applyFill="1" applyBorder="1" applyAlignment="1">
      <alignment/>
    </xf>
    <xf numFmtId="0" fontId="6" fillId="0" borderId="35" xfId="0" applyNumberFormat="1" applyFont="1" applyFill="1" applyBorder="1" applyAlignment="1">
      <alignment horizontal="center"/>
    </xf>
    <xf numFmtId="39" fontId="7" fillId="36" borderId="37" xfId="0" applyNumberFormat="1" applyFont="1" applyFill="1" applyBorder="1" applyAlignment="1">
      <alignment horizontal="center" vertical="center"/>
    </xf>
    <xf numFmtId="4" fontId="23" fillId="36" borderId="35" xfId="0" applyNumberFormat="1" applyFont="1" applyFill="1" applyBorder="1" applyAlignment="1">
      <alignment/>
    </xf>
    <xf numFmtId="0" fontId="8" fillId="34" borderId="15" xfId="0" applyFont="1" applyFill="1" applyBorder="1" applyAlignment="1">
      <alignment horizontal="center"/>
    </xf>
    <xf numFmtId="171" fontId="9" fillId="34" borderId="16" xfId="54" applyFont="1" applyFill="1" applyBorder="1" applyAlignment="1">
      <alignment horizontal="right"/>
    </xf>
    <xf numFmtId="171" fontId="9" fillId="34" borderId="16" xfId="54" applyFont="1" applyFill="1" applyBorder="1" applyAlignment="1">
      <alignment horizontal="center"/>
    </xf>
    <xf numFmtId="39" fontId="2" fillId="34" borderId="16" xfId="0" applyNumberFormat="1" applyFont="1" applyFill="1" applyBorder="1" applyAlignment="1">
      <alignment/>
    </xf>
    <xf numFmtId="39" fontId="2" fillId="34" borderId="16" xfId="0" applyNumberFormat="1" applyFont="1" applyFill="1" applyBorder="1" applyAlignment="1">
      <alignment/>
    </xf>
    <xf numFmtId="171" fontId="2" fillId="0" borderId="22" xfId="54" applyFont="1" applyFill="1" applyBorder="1" applyAlignment="1">
      <alignment horizontal="right"/>
    </xf>
    <xf numFmtId="0" fontId="2" fillId="0" borderId="22" xfId="0" applyFont="1" applyFill="1" applyBorder="1" applyAlignment="1">
      <alignment horizontal="center"/>
    </xf>
    <xf numFmtId="4" fontId="23" fillId="0" borderId="14" xfId="0" applyNumberFormat="1" applyFont="1" applyFill="1" applyBorder="1" applyAlignment="1" applyProtection="1">
      <alignment/>
      <protection hidden="1" locked="0"/>
    </xf>
    <xf numFmtId="0" fontId="4" fillId="0" borderId="38" xfId="0" applyNumberFormat="1" applyFont="1" applyFill="1" applyBorder="1" applyAlignment="1">
      <alignment horizontal="center"/>
    </xf>
    <xf numFmtId="4" fontId="23" fillId="0" borderId="39" xfId="0" applyNumberFormat="1" applyFont="1" applyFill="1" applyBorder="1" applyAlignment="1" applyProtection="1">
      <alignment/>
      <protection hidden="1" locked="0"/>
    </xf>
    <xf numFmtId="39" fontId="23" fillId="0" borderId="14" xfId="0" applyNumberFormat="1" applyFont="1" applyFill="1" applyBorder="1" applyAlignment="1" applyProtection="1">
      <alignment/>
      <protection hidden="1" locked="0"/>
    </xf>
    <xf numFmtId="0" fontId="2" fillId="0" borderId="40" xfId="0" applyFont="1" applyBorder="1" applyAlignment="1">
      <alignment/>
    </xf>
    <xf numFmtId="4" fontId="24" fillId="0" borderId="0" xfId="0" applyNumberFormat="1" applyFont="1" applyAlignment="1">
      <alignment/>
    </xf>
    <xf numFmtId="0" fontId="2" fillId="0" borderId="25" xfId="0" applyFont="1" applyBorder="1" applyAlignment="1">
      <alignment/>
    </xf>
    <xf numFmtId="39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4" fontId="8" fillId="0" borderId="14" xfId="0" applyNumberFormat="1" applyFont="1" applyFill="1" applyBorder="1" applyAlignment="1" applyProtection="1">
      <alignment/>
      <protection hidden="1" locked="0"/>
    </xf>
    <xf numFmtId="0" fontId="13" fillId="0" borderId="0" xfId="0" applyFont="1" applyFill="1" applyAlignment="1">
      <alignment horizontal="center"/>
    </xf>
    <xf numFmtId="0" fontId="17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 quotePrefix="1">
      <alignment/>
    </xf>
    <xf numFmtId="0" fontId="28" fillId="0" borderId="0" xfId="0" applyFont="1" applyAlignment="1">
      <alignment horizontal="center"/>
    </xf>
    <xf numFmtId="4" fontId="13" fillId="0" borderId="0" xfId="0" applyNumberFormat="1" applyFont="1" applyAlignment="1">
      <alignment/>
    </xf>
    <xf numFmtId="4" fontId="13" fillId="0" borderId="0" xfId="0" applyNumberFormat="1" applyFont="1" applyFill="1" applyAlignment="1">
      <alignment/>
    </xf>
    <xf numFmtId="9" fontId="28" fillId="0" borderId="0" xfId="0" applyNumberFormat="1" applyFont="1" applyFill="1" applyAlignment="1">
      <alignment horizontal="center"/>
    </xf>
    <xf numFmtId="9" fontId="26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right"/>
    </xf>
    <xf numFmtId="9" fontId="28" fillId="0" borderId="0" xfId="0" applyNumberFormat="1" applyFont="1" applyAlignment="1">
      <alignment horizont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7" fillId="36" borderId="32" xfId="0" applyFont="1" applyFill="1" applyBorder="1" applyAlignment="1">
      <alignment horizontal="center"/>
    </xf>
    <xf numFmtId="4" fontId="4" fillId="0" borderId="14" xfId="0" applyNumberFormat="1" applyFont="1" applyFill="1" applyBorder="1" applyAlignment="1" applyProtection="1">
      <alignment/>
      <protection hidden="1" locked="0"/>
    </xf>
    <xf numFmtId="171" fontId="7" fillId="36" borderId="43" xfId="54" applyFont="1" applyFill="1" applyBorder="1" applyAlignment="1">
      <alignment horizontal="center"/>
    </xf>
    <xf numFmtId="171" fontId="7" fillId="36" borderId="11" xfId="54" applyFont="1" applyFill="1" applyBorder="1" applyAlignment="1">
      <alignment horizontal="center"/>
    </xf>
    <xf numFmtId="171" fontId="7" fillId="36" borderId="33" xfId="54" applyFont="1" applyFill="1" applyBorder="1" applyAlignment="1">
      <alignment horizontal="center"/>
    </xf>
    <xf numFmtId="0" fontId="7" fillId="36" borderId="33" xfId="0" applyFont="1" applyFill="1" applyBorder="1" applyAlignment="1">
      <alignment horizontal="center"/>
    </xf>
    <xf numFmtId="172" fontId="8" fillId="36" borderId="10" xfId="0" applyNumberFormat="1" applyFont="1" applyFill="1" applyBorder="1" applyAlignment="1">
      <alignment/>
    </xf>
    <xf numFmtId="171" fontId="7" fillId="36" borderId="0" xfId="54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1" fontId="4" fillId="0" borderId="36" xfId="54" applyFont="1" applyFill="1" applyBorder="1" applyAlignment="1">
      <alignment/>
    </xf>
    <xf numFmtId="0" fontId="6" fillId="0" borderId="36" xfId="0" applyNumberFormat="1" applyFont="1" applyFill="1" applyBorder="1" applyAlignment="1">
      <alignment horizontal="center"/>
    </xf>
    <xf numFmtId="171" fontId="6" fillId="0" borderId="44" xfId="54" applyFont="1" applyFill="1" applyBorder="1" applyAlignment="1">
      <alignment horizontal="center"/>
    </xf>
    <xf numFmtId="39" fontId="7" fillId="36" borderId="45" xfId="0" applyNumberFormat="1" applyFont="1" applyFill="1" applyBorder="1" applyAlignment="1">
      <alignment horizontal="center" vertical="center"/>
    </xf>
    <xf numFmtId="39" fontId="7" fillId="36" borderId="46" xfId="0" applyNumberFormat="1" applyFont="1" applyFill="1" applyBorder="1" applyAlignment="1">
      <alignment horizontal="center" vertical="center"/>
    </xf>
    <xf numFmtId="4" fontId="23" fillId="36" borderId="13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0" fillId="0" borderId="47" xfId="0" applyBorder="1" applyAlignment="1">
      <alignment/>
    </xf>
    <xf numFmtId="172" fontId="4" fillId="36" borderId="0" xfId="0" applyNumberFormat="1" applyFont="1" applyFill="1" applyBorder="1" applyAlignment="1">
      <alignment horizontal="left"/>
    </xf>
    <xf numFmtId="0" fontId="2" fillId="0" borderId="36" xfId="0" applyFont="1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4" fontId="6" fillId="0" borderId="48" xfId="0" applyNumberFormat="1" applyFont="1" applyFill="1" applyBorder="1" applyAlignment="1" applyProtection="1">
      <alignment/>
      <protection hidden="1" locked="0"/>
    </xf>
    <xf numFmtId="4" fontId="6" fillId="0" borderId="49" xfId="0" applyNumberFormat="1" applyFont="1" applyBorder="1" applyAlignment="1">
      <alignment/>
    </xf>
    <xf numFmtId="4" fontId="4" fillId="0" borderId="50" xfId="0" applyNumberFormat="1" applyFont="1" applyFill="1" applyBorder="1" applyAlignment="1" applyProtection="1">
      <alignment/>
      <protection hidden="1" locked="0"/>
    </xf>
    <xf numFmtId="4" fontId="4" fillId="0" borderId="51" xfId="0" applyNumberFormat="1" applyFont="1" applyBorder="1" applyAlignment="1">
      <alignment/>
    </xf>
    <xf numFmtId="171" fontId="3" fillId="36" borderId="0" xfId="54" applyFont="1" applyFill="1" applyBorder="1" applyAlignment="1">
      <alignment horizontal="center"/>
    </xf>
    <xf numFmtId="0" fontId="11" fillId="0" borderId="5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53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10" fillId="0" borderId="53" xfId="0" applyFont="1" applyFill="1" applyBorder="1" applyAlignment="1">
      <alignment/>
    </xf>
    <xf numFmtId="171" fontId="2" fillId="0" borderId="53" xfId="54" applyFont="1" applyFill="1" applyBorder="1" applyAlignment="1">
      <alignment/>
    </xf>
    <xf numFmtId="171" fontId="7" fillId="0" borderId="53" xfId="54" applyFont="1" applyFill="1" applyBorder="1" applyAlignment="1">
      <alignment/>
    </xf>
    <xf numFmtId="4" fontId="2" fillId="0" borderId="30" xfId="0" applyNumberFormat="1" applyFont="1" applyFill="1" applyBorder="1" applyAlignment="1">
      <alignment horizontal="center"/>
    </xf>
    <xf numFmtId="0" fontId="9" fillId="0" borderId="30" xfId="0" applyFont="1" applyBorder="1" applyAlignment="1">
      <alignment/>
    </xf>
    <xf numFmtId="171" fontId="2" fillId="0" borderId="10" xfId="54" applyFont="1" applyBorder="1" applyAlignment="1">
      <alignment horizontal="center"/>
    </xf>
    <xf numFmtId="9" fontId="32" fillId="0" borderId="0" xfId="0" applyNumberFormat="1" applyFont="1" applyAlignment="1">
      <alignment horizontal="right"/>
    </xf>
    <xf numFmtId="0" fontId="32" fillId="0" borderId="0" xfId="0" applyFont="1" applyAlignment="1">
      <alignment horizontal="center"/>
    </xf>
    <xf numFmtId="9" fontId="32" fillId="0" borderId="0" xfId="0" applyNumberFormat="1" applyFont="1" applyAlignment="1">
      <alignment horizontal="center"/>
    </xf>
    <xf numFmtId="0" fontId="32" fillId="0" borderId="0" xfId="0" applyFont="1" applyFill="1" applyAlignment="1">
      <alignment horizontal="center"/>
    </xf>
    <xf numFmtId="171" fontId="33" fillId="0" borderId="0" xfId="54" applyFont="1" applyAlignment="1">
      <alignment/>
    </xf>
    <xf numFmtId="39" fontId="2" fillId="34" borderId="54" xfId="0" applyNumberFormat="1" applyFont="1" applyFill="1" applyBorder="1" applyAlignment="1">
      <alignment/>
    </xf>
    <xf numFmtId="39" fontId="2" fillId="34" borderId="54" xfId="0" applyNumberFormat="1" applyFont="1" applyFill="1" applyBorder="1" applyAlignment="1">
      <alignment/>
    </xf>
    <xf numFmtId="4" fontId="23" fillId="34" borderId="5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56" xfId="0" applyFont="1" applyBorder="1" applyAlignment="1">
      <alignment/>
    </xf>
    <xf numFmtId="4" fontId="35" fillId="0" borderId="0" xfId="0" applyNumberFormat="1" applyFont="1" applyFill="1" applyAlignment="1">
      <alignment horizontal="center"/>
    </xf>
    <xf numFmtId="0" fontId="7" fillId="35" borderId="57" xfId="0" applyFont="1" applyFill="1" applyBorder="1" applyAlignment="1">
      <alignment horizontal="center"/>
    </xf>
    <xf numFmtId="0" fontId="8" fillId="35" borderId="31" xfId="0" applyFont="1" applyFill="1" applyBorder="1" applyAlignment="1">
      <alignment/>
    </xf>
    <xf numFmtId="0" fontId="12" fillId="35" borderId="31" xfId="0" applyFont="1" applyFill="1" applyBorder="1" applyAlignment="1">
      <alignment/>
    </xf>
    <xf numFmtId="171" fontId="2" fillId="35" borderId="31" xfId="54" applyFont="1" applyFill="1" applyBorder="1" applyAlignment="1">
      <alignment/>
    </xf>
    <xf numFmtId="0" fontId="2" fillId="35" borderId="31" xfId="0" applyFont="1" applyFill="1" applyBorder="1" applyAlignment="1">
      <alignment horizontal="center"/>
    </xf>
    <xf numFmtId="171" fontId="2" fillId="35" borderId="58" xfId="54" applyFont="1" applyFill="1" applyBorder="1" applyAlignment="1">
      <alignment/>
    </xf>
    <xf numFmtId="171" fontId="2" fillId="0" borderId="22" xfId="54" applyFont="1" applyFill="1" applyBorder="1" applyAlignment="1">
      <alignment/>
    </xf>
    <xf numFmtId="0" fontId="9" fillId="0" borderId="31" xfId="0" applyFont="1" applyBorder="1" applyAlignment="1">
      <alignment/>
    </xf>
    <xf numFmtId="171" fontId="2" fillId="35" borderId="30" xfId="54" applyFont="1" applyFill="1" applyBorder="1" applyAlignment="1">
      <alignment horizontal="right"/>
    </xf>
    <xf numFmtId="0" fontId="9" fillId="0" borderId="16" xfId="0" applyFont="1" applyBorder="1" applyAlignment="1">
      <alignment wrapText="1"/>
    </xf>
    <xf numFmtId="0" fontId="9" fillId="0" borderId="22" xfId="0" applyFont="1" applyBorder="1" applyAlignment="1">
      <alignment wrapText="1"/>
    </xf>
    <xf numFmtId="9" fontId="36" fillId="0" borderId="0" xfId="0" applyNumberFormat="1" applyFont="1" applyFill="1" applyAlignment="1">
      <alignment horizontal="center"/>
    </xf>
    <xf numFmtId="9" fontId="36" fillId="0" borderId="0" xfId="0" applyNumberFormat="1" applyFont="1" applyAlignment="1">
      <alignment horizontal="center"/>
    </xf>
    <xf numFmtId="171" fontId="2" fillId="0" borderId="23" xfId="54" applyFont="1" applyFill="1" applyBorder="1" applyAlignment="1">
      <alignment/>
    </xf>
    <xf numFmtId="39" fontId="2" fillId="0" borderId="16" xfId="0" applyNumberFormat="1" applyFont="1" applyFill="1" applyBorder="1" applyAlignment="1">
      <alignment/>
    </xf>
    <xf numFmtId="39" fontId="2" fillId="0" borderId="16" xfId="0" applyNumberFormat="1" applyFont="1" applyFill="1" applyBorder="1" applyAlignment="1">
      <alignment/>
    </xf>
    <xf numFmtId="171" fontId="9" fillId="0" borderId="16" xfId="54" applyFont="1" applyFill="1" applyBorder="1" applyAlignment="1">
      <alignment horizontal="right"/>
    </xf>
    <xf numFmtId="171" fontId="9" fillId="0" borderId="16" xfId="54" applyFont="1" applyFill="1" applyBorder="1" applyAlignment="1">
      <alignment horizontal="center"/>
    </xf>
    <xf numFmtId="0" fontId="2" fillId="0" borderId="16" xfId="0" applyFont="1" applyBorder="1" applyAlignment="1">
      <alignment/>
    </xf>
    <xf numFmtId="171" fontId="2" fillId="0" borderId="16" xfId="54" applyFont="1" applyBorder="1" applyAlignment="1">
      <alignment horizontal="center"/>
    </xf>
    <xf numFmtId="0" fontId="2" fillId="0" borderId="16" xfId="0" applyFont="1" applyFill="1" applyBorder="1" applyAlignment="1">
      <alignment/>
    </xf>
    <xf numFmtId="39" fontId="31" fillId="0" borderId="16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left"/>
    </xf>
    <xf numFmtId="0" fontId="9" fillId="0" borderId="59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left"/>
    </xf>
    <xf numFmtId="171" fontId="2" fillId="0" borderId="60" xfId="54" applyFont="1" applyFill="1" applyBorder="1" applyAlignment="1">
      <alignment/>
    </xf>
    <xf numFmtId="0" fontId="2" fillId="0" borderId="60" xfId="0" applyFont="1" applyFill="1" applyBorder="1" applyAlignment="1">
      <alignment horizontal="center"/>
    </xf>
    <xf numFmtId="39" fontId="2" fillId="0" borderId="60" xfId="0" applyNumberFormat="1" applyFont="1" applyFill="1" applyBorder="1" applyAlignment="1">
      <alignment/>
    </xf>
    <xf numFmtId="171" fontId="2" fillId="0" borderId="54" xfId="54" applyFont="1" applyFill="1" applyBorder="1" applyAlignment="1">
      <alignment/>
    </xf>
    <xf numFmtId="171" fontId="2" fillId="0" borderId="54" xfId="54" applyFont="1" applyFill="1" applyBorder="1" applyAlignment="1">
      <alignment horizontal="right"/>
    </xf>
    <xf numFmtId="171" fontId="9" fillId="0" borderId="54" xfId="54" applyFont="1" applyFill="1" applyBorder="1" applyAlignment="1">
      <alignment horizontal="right"/>
    </xf>
    <xf numFmtId="171" fontId="9" fillId="34" borderId="54" xfId="54" applyFont="1" applyFill="1" applyBorder="1" applyAlignment="1">
      <alignment horizontal="right"/>
    </xf>
    <xf numFmtId="171" fontId="2" fillId="0" borderId="54" xfId="54" applyFont="1" applyBorder="1" applyAlignment="1">
      <alignment horizontal="right"/>
    </xf>
    <xf numFmtId="171" fontId="2" fillId="34" borderId="54" xfId="54" applyFont="1" applyFill="1" applyBorder="1" applyAlignment="1">
      <alignment horizontal="right"/>
    </xf>
    <xf numFmtId="171" fontId="2" fillId="0" borderId="61" xfId="54" applyFont="1" applyFill="1" applyBorder="1" applyAlignment="1">
      <alignment/>
    </xf>
    <xf numFmtId="39" fontId="2" fillId="0" borderId="54" xfId="0" applyNumberFormat="1" applyFont="1" applyFill="1" applyBorder="1" applyAlignment="1">
      <alignment/>
    </xf>
    <xf numFmtId="39" fontId="2" fillId="0" borderId="54" xfId="0" applyNumberFormat="1" applyFont="1" applyFill="1" applyBorder="1" applyAlignment="1">
      <alignment/>
    </xf>
    <xf numFmtId="39" fontId="2" fillId="0" borderId="61" xfId="0" applyNumberFormat="1" applyFont="1" applyFill="1" applyBorder="1" applyAlignment="1">
      <alignment/>
    </xf>
    <xf numFmtId="4" fontId="23" fillId="0" borderId="55" xfId="0" applyNumberFormat="1" applyFont="1" applyFill="1" applyBorder="1" applyAlignment="1">
      <alignment/>
    </xf>
    <xf numFmtId="4" fontId="23" fillId="0" borderId="51" xfId="0" applyNumberFormat="1" applyFont="1" applyFill="1" applyBorder="1" applyAlignment="1">
      <alignment/>
    </xf>
    <xf numFmtId="171" fontId="6" fillId="0" borderId="10" xfId="54" applyFont="1" applyFill="1" applyBorder="1" applyAlignment="1">
      <alignment horizontal="center"/>
    </xf>
    <xf numFmtId="39" fontId="7" fillId="36" borderId="62" xfId="0" applyNumberFormat="1" applyFont="1" applyFill="1" applyBorder="1" applyAlignment="1">
      <alignment horizontal="center" vertical="center"/>
    </xf>
    <xf numFmtId="171" fontId="2" fillId="0" borderId="15" xfId="54" applyFont="1" applyFill="1" applyBorder="1" applyAlignment="1">
      <alignment/>
    </xf>
    <xf numFmtId="39" fontId="2" fillId="0" borderId="15" xfId="0" applyNumberFormat="1" applyFont="1" applyFill="1" applyBorder="1" applyAlignment="1">
      <alignment/>
    </xf>
    <xf numFmtId="39" fontId="2" fillId="0" borderId="15" xfId="0" applyNumberFormat="1" applyFont="1" applyFill="1" applyBorder="1" applyAlignment="1">
      <alignment/>
    </xf>
    <xf numFmtId="39" fontId="2" fillId="34" borderId="15" xfId="0" applyNumberFormat="1" applyFont="1" applyFill="1" applyBorder="1" applyAlignment="1">
      <alignment/>
    </xf>
    <xf numFmtId="39" fontId="30" fillId="0" borderId="15" xfId="0" applyNumberFormat="1" applyFont="1" applyFill="1" applyBorder="1" applyAlignment="1">
      <alignment/>
    </xf>
    <xf numFmtId="39" fontId="2" fillId="34" borderId="15" xfId="0" applyNumberFormat="1" applyFont="1" applyFill="1" applyBorder="1" applyAlignment="1">
      <alignment/>
    </xf>
    <xf numFmtId="39" fontId="31" fillId="0" borderId="15" xfId="0" applyNumberFormat="1" applyFont="1" applyFill="1" applyBorder="1" applyAlignment="1">
      <alignment/>
    </xf>
    <xf numFmtId="39" fontId="2" fillId="0" borderId="59" xfId="0" applyNumberFormat="1" applyFont="1" applyFill="1" applyBorder="1" applyAlignment="1">
      <alignment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171" fontId="9" fillId="33" borderId="16" xfId="54" applyFont="1" applyFill="1" applyBorder="1" applyAlignment="1">
      <alignment horizontal="right"/>
    </xf>
    <xf numFmtId="171" fontId="9" fillId="33" borderId="16" xfId="54" applyFont="1" applyFill="1" applyBorder="1" applyAlignment="1">
      <alignment horizontal="center"/>
    </xf>
    <xf numFmtId="171" fontId="9" fillId="33" borderId="54" xfId="54" applyFont="1" applyFill="1" applyBorder="1" applyAlignment="1">
      <alignment horizontal="right"/>
    </xf>
    <xf numFmtId="39" fontId="2" fillId="33" borderId="15" xfId="0" applyNumberFormat="1" applyFont="1" applyFill="1" applyBorder="1" applyAlignment="1">
      <alignment/>
    </xf>
    <xf numFmtId="39" fontId="2" fillId="33" borderId="16" xfId="0" applyNumberFormat="1" applyFont="1" applyFill="1" applyBorder="1" applyAlignment="1">
      <alignment/>
    </xf>
    <xf numFmtId="39" fontId="2" fillId="33" borderId="54" xfId="0" applyNumberFormat="1" applyFont="1" applyFill="1" applyBorder="1" applyAlignment="1">
      <alignment/>
    </xf>
    <xf numFmtId="4" fontId="23" fillId="33" borderId="55" xfId="0" applyNumberFormat="1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37" fillId="0" borderId="52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39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9" fontId="2" fillId="37" borderId="15" xfId="0" applyNumberFormat="1" applyFont="1" applyFill="1" applyBorder="1" applyAlignment="1">
      <alignment/>
    </xf>
    <xf numFmtId="39" fontId="2" fillId="37" borderId="15" xfId="0" applyNumberFormat="1" applyFont="1" applyFill="1" applyBorder="1" applyAlignment="1">
      <alignment/>
    </xf>
    <xf numFmtId="39" fontId="2" fillId="37" borderId="16" xfId="0" applyNumberFormat="1" applyFont="1" applyFill="1" applyBorder="1" applyAlignment="1">
      <alignment/>
    </xf>
    <xf numFmtId="39" fontId="2" fillId="37" borderId="16" xfId="0" applyNumberFormat="1" applyFont="1" applyFill="1" applyBorder="1" applyAlignment="1">
      <alignment/>
    </xf>
    <xf numFmtId="39" fontId="2" fillId="37" borderId="54" xfId="0" applyNumberFormat="1" applyFont="1" applyFill="1" applyBorder="1" applyAlignment="1">
      <alignment/>
    </xf>
    <xf numFmtId="39" fontId="34" fillId="37" borderId="16" xfId="0" applyNumberFormat="1" applyFont="1" applyFill="1" applyBorder="1" applyAlignment="1">
      <alignment/>
    </xf>
    <xf numFmtId="39" fontId="30" fillId="37" borderId="16" xfId="0" applyNumberFormat="1" applyFont="1" applyFill="1" applyBorder="1" applyAlignment="1">
      <alignment/>
    </xf>
    <xf numFmtId="39" fontId="30" fillId="37" borderId="54" xfId="0" applyNumberFormat="1" applyFont="1" applyFill="1" applyBorder="1" applyAlignment="1">
      <alignment/>
    </xf>
    <xf numFmtId="39" fontId="31" fillId="37" borderId="54" xfId="0" applyNumberFormat="1" applyFont="1" applyFill="1" applyBorder="1" applyAlignment="1">
      <alignment/>
    </xf>
    <xf numFmtId="39" fontId="2" fillId="37" borderId="61" xfId="0" applyNumberFormat="1" applyFont="1" applyFill="1" applyBorder="1" applyAlignment="1">
      <alignment/>
    </xf>
    <xf numFmtId="0" fontId="37" fillId="0" borderId="0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4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3" fontId="8" fillId="0" borderId="16" xfId="0" applyNumberFormat="1" applyFont="1" applyFill="1" applyBorder="1" applyAlignment="1">
      <alignment horizontal="center"/>
    </xf>
    <xf numFmtId="4" fontId="16" fillId="0" borderId="16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71" fontId="2" fillId="32" borderId="16" xfId="54" applyFont="1" applyFill="1" applyBorder="1" applyAlignment="1">
      <alignment/>
    </xf>
    <xf numFmtId="0" fontId="9" fillId="32" borderId="22" xfId="0" applyFont="1" applyFill="1" applyBorder="1" applyAlignment="1">
      <alignment/>
    </xf>
    <xf numFmtId="0" fontId="9" fillId="32" borderId="31" xfId="0" applyFont="1" applyFill="1" applyBorder="1" applyAlignment="1">
      <alignment/>
    </xf>
    <xf numFmtId="0" fontId="2" fillId="32" borderId="15" xfId="0" applyFont="1" applyFill="1" applyBorder="1" applyAlignment="1">
      <alignment horizontal="center"/>
    </xf>
    <xf numFmtId="0" fontId="9" fillId="32" borderId="16" xfId="0" applyFont="1" applyFill="1" applyBorder="1" applyAlignment="1">
      <alignment/>
    </xf>
    <xf numFmtId="0" fontId="8" fillId="32" borderId="16" xfId="0" applyFont="1" applyFill="1" applyBorder="1" applyAlignment="1">
      <alignment horizontal="center"/>
    </xf>
    <xf numFmtId="171" fontId="2" fillId="32" borderId="16" xfId="54" applyFont="1" applyFill="1" applyBorder="1" applyAlignment="1">
      <alignment horizontal="right"/>
    </xf>
    <xf numFmtId="0" fontId="2" fillId="32" borderId="16" xfId="0" applyFont="1" applyFill="1" applyBorder="1" applyAlignment="1">
      <alignment horizontal="center"/>
    </xf>
    <xf numFmtId="171" fontId="2" fillId="32" borderId="17" xfId="54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72" fillId="0" borderId="0" xfId="0" applyFont="1" applyAlignment="1">
      <alignment/>
    </xf>
    <xf numFmtId="4" fontId="35" fillId="9" borderId="0" xfId="0" applyNumberFormat="1" applyFont="1" applyFill="1" applyAlignment="1">
      <alignment horizontal="center"/>
    </xf>
    <xf numFmtId="4" fontId="13" fillId="9" borderId="0" xfId="0" applyNumberFormat="1" applyFont="1" applyFill="1" applyAlignment="1">
      <alignment/>
    </xf>
    <xf numFmtId="4" fontId="16" fillId="0" borderId="22" xfId="0" applyNumberFormat="1" applyFont="1" applyFill="1" applyBorder="1" applyAlignment="1">
      <alignment horizontal="center"/>
    </xf>
    <xf numFmtId="4" fontId="16" fillId="0" borderId="31" xfId="0" applyNumberFormat="1" applyFont="1" applyFill="1" applyBorder="1" applyAlignment="1">
      <alignment horizontal="center"/>
    </xf>
    <xf numFmtId="49" fontId="16" fillId="0" borderId="31" xfId="0" applyNumberFormat="1" applyFont="1" applyFill="1" applyBorder="1" applyAlignment="1">
      <alignment horizontal="center"/>
    </xf>
    <xf numFmtId="171" fontId="7" fillId="0" borderId="16" xfId="54" applyFont="1" applyFill="1" applyBorder="1" applyAlignment="1">
      <alignment/>
    </xf>
    <xf numFmtId="171" fontId="7" fillId="38" borderId="21" xfId="54" applyFont="1" applyFill="1" applyBorder="1" applyAlignment="1">
      <alignment/>
    </xf>
    <xf numFmtId="171" fontId="4" fillId="0" borderId="10" xfId="54" applyFont="1" applyBorder="1" applyAlignment="1">
      <alignment vertical="center"/>
    </xf>
    <xf numFmtId="0" fontId="7" fillId="0" borderId="18" xfId="0" applyFont="1" applyFill="1" applyBorder="1" applyAlignment="1">
      <alignment horizontal="center"/>
    </xf>
    <xf numFmtId="171" fontId="7" fillId="0" borderId="14" xfId="54" applyFont="1" applyFill="1" applyBorder="1" applyAlignment="1">
      <alignment/>
    </xf>
    <xf numFmtId="0" fontId="7" fillId="39" borderId="18" xfId="0" applyFont="1" applyFill="1" applyBorder="1" applyAlignment="1">
      <alignment horizontal="center"/>
    </xf>
    <xf numFmtId="171" fontId="7" fillId="39" borderId="14" xfId="54" applyFont="1" applyFill="1" applyBorder="1" applyAlignment="1">
      <alignment/>
    </xf>
    <xf numFmtId="0" fontId="7" fillId="38" borderId="18" xfId="0" applyFont="1" applyFill="1" applyBorder="1" applyAlignment="1">
      <alignment horizontal="center"/>
    </xf>
    <xf numFmtId="171" fontId="7" fillId="38" borderId="14" xfId="54" applyFont="1" applyFill="1" applyBorder="1" applyAlignment="1">
      <alignment/>
    </xf>
    <xf numFmtId="0" fontId="8" fillId="39" borderId="63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38" borderId="63" xfId="0" applyFont="1" applyFill="1" applyBorder="1" applyAlignment="1">
      <alignment horizontal="center"/>
    </xf>
    <xf numFmtId="171" fontId="7" fillId="39" borderId="53" xfId="54" applyFont="1" applyFill="1" applyBorder="1" applyAlignment="1">
      <alignment/>
    </xf>
    <xf numFmtId="171" fontId="7" fillId="38" borderId="53" xfId="54" applyFont="1" applyFill="1" applyBorder="1" applyAlignment="1">
      <alignment/>
    </xf>
    <xf numFmtId="0" fontId="8" fillId="39" borderId="53" xfId="0" applyFont="1" applyFill="1" applyBorder="1" applyAlignment="1">
      <alignment horizontal="center"/>
    </xf>
    <xf numFmtId="0" fontId="7" fillId="39" borderId="53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8" fillId="38" borderId="53" xfId="0" applyFont="1" applyFill="1" applyBorder="1" applyAlignment="1">
      <alignment horizontal="center"/>
    </xf>
    <xf numFmtId="0" fontId="7" fillId="38" borderId="53" xfId="0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8" fillId="0" borderId="24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/>
    </xf>
    <xf numFmtId="171" fontId="2" fillId="0" borderId="64" xfId="54" applyFont="1" applyFill="1" applyBorder="1" applyAlignment="1">
      <alignment/>
    </xf>
    <xf numFmtId="39" fontId="2" fillId="0" borderId="24" xfId="0" applyNumberFormat="1" applyFont="1" applyFill="1" applyBorder="1" applyAlignment="1">
      <alignment/>
    </xf>
    <xf numFmtId="39" fontId="2" fillId="0" borderId="22" xfId="0" applyNumberFormat="1" applyFont="1" applyFill="1" applyBorder="1" applyAlignment="1">
      <alignment/>
    </xf>
    <xf numFmtId="39" fontId="2" fillId="0" borderId="64" xfId="0" applyNumberFormat="1" applyFont="1" applyFill="1" applyBorder="1" applyAlignment="1">
      <alignment/>
    </xf>
    <xf numFmtId="4" fontId="23" fillId="0" borderId="65" xfId="0" applyNumberFormat="1" applyFont="1" applyFill="1" applyBorder="1" applyAlignment="1">
      <alignment/>
    </xf>
    <xf numFmtId="0" fontId="37" fillId="0" borderId="0" xfId="0" applyFont="1" applyAlignment="1">
      <alignment/>
    </xf>
    <xf numFmtId="39" fontId="2" fillId="40" borderId="16" xfId="0" applyNumberFormat="1" applyFont="1" applyFill="1" applyBorder="1" applyAlignment="1">
      <alignment/>
    </xf>
    <xf numFmtId="39" fontId="2" fillId="40" borderId="64" xfId="0" applyNumberFormat="1" applyFont="1" applyFill="1" applyBorder="1" applyAlignment="1">
      <alignment/>
    </xf>
    <xf numFmtId="39" fontId="2" fillId="40" borderId="54" xfId="0" applyNumberFormat="1" applyFont="1" applyFill="1" applyBorder="1" applyAlignment="1">
      <alignment/>
    </xf>
    <xf numFmtId="39" fontId="2" fillId="40" borderId="16" xfId="0" applyNumberFormat="1" applyFont="1" applyFill="1" applyBorder="1" applyAlignment="1">
      <alignment/>
    </xf>
    <xf numFmtId="39" fontId="31" fillId="40" borderId="54" xfId="0" applyNumberFormat="1" applyFont="1" applyFill="1" applyBorder="1" applyAlignment="1">
      <alignment/>
    </xf>
    <xf numFmtId="39" fontId="2" fillId="0" borderId="0" xfId="0" applyNumberFormat="1" applyFont="1" applyAlignment="1">
      <alignment/>
    </xf>
    <xf numFmtId="171" fontId="2" fillId="41" borderId="16" xfId="54" applyFont="1" applyFill="1" applyBorder="1" applyAlignment="1">
      <alignment/>
    </xf>
    <xf numFmtId="171" fontId="2" fillId="41" borderId="16" xfId="54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1" fontId="2" fillId="0" borderId="22" xfId="54" applyFont="1" applyFill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2" fillId="32" borderId="24" xfId="0" applyFont="1" applyFill="1" applyBorder="1" applyAlignment="1">
      <alignment horizontal="center" vertical="center"/>
    </xf>
    <xf numFmtId="0" fontId="0" fillId="32" borderId="57" xfId="0" applyFill="1" applyBorder="1" applyAlignment="1">
      <alignment horizontal="center" vertical="center"/>
    </xf>
    <xf numFmtId="171" fontId="7" fillId="0" borderId="40" xfId="54" applyFont="1" applyBorder="1" applyAlignment="1">
      <alignment horizontal="center" vertical="center"/>
    </xf>
    <xf numFmtId="171" fontId="7" fillId="0" borderId="39" xfId="54" applyFont="1" applyBorder="1" applyAlignment="1">
      <alignment horizontal="center" vertical="center"/>
    </xf>
    <xf numFmtId="171" fontId="4" fillId="0" borderId="10" xfId="54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171" fontId="4" fillId="0" borderId="10" xfId="54" applyFont="1" applyBorder="1" applyAlignment="1">
      <alignment vertical="center"/>
    </xf>
    <xf numFmtId="0" fontId="0" fillId="0" borderId="0" xfId="0" applyBorder="1" applyAlignment="1">
      <alignment vertical="center"/>
    </xf>
    <xf numFmtId="171" fontId="2" fillId="0" borderId="23" xfId="54" applyFont="1" applyFill="1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171" fontId="3" fillId="36" borderId="0" xfId="54" applyFont="1" applyFill="1" applyBorder="1" applyAlignment="1">
      <alignment horizontal="center"/>
    </xf>
    <xf numFmtId="171" fontId="4" fillId="0" borderId="32" xfId="54" applyFont="1" applyBorder="1" applyAlignment="1">
      <alignment horizontal="center" vertical="center"/>
    </xf>
    <xf numFmtId="171" fontId="4" fillId="0" borderId="33" xfId="54" applyFont="1" applyBorder="1" applyAlignment="1">
      <alignment horizontal="center" vertical="center"/>
    </xf>
    <xf numFmtId="171" fontId="4" fillId="0" borderId="43" xfId="54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32" borderId="22" xfId="0" applyFont="1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/>
    </xf>
    <xf numFmtId="171" fontId="2" fillId="32" borderId="22" xfId="54" applyFont="1" applyFill="1" applyBorder="1" applyAlignment="1">
      <alignment horizontal="right" vertical="center"/>
    </xf>
    <xf numFmtId="0" fontId="0" fillId="32" borderId="31" xfId="0" applyFill="1" applyBorder="1" applyAlignment="1">
      <alignment horizontal="right" vertical="center"/>
    </xf>
    <xf numFmtId="0" fontId="2" fillId="32" borderId="22" xfId="0" applyFont="1" applyFill="1" applyBorder="1" applyAlignment="1">
      <alignment horizontal="center" vertical="center"/>
    </xf>
    <xf numFmtId="171" fontId="2" fillId="32" borderId="23" xfId="54" applyFont="1" applyFill="1" applyBorder="1" applyAlignment="1">
      <alignment vertical="center"/>
    </xf>
    <xf numFmtId="0" fontId="0" fillId="32" borderId="58" xfId="0" applyFill="1" applyBorder="1" applyAlignment="1">
      <alignment vertical="center"/>
    </xf>
    <xf numFmtId="171" fontId="2" fillId="32" borderId="22" xfId="54" applyFont="1" applyFill="1" applyBorder="1" applyAlignment="1">
      <alignment vertical="center"/>
    </xf>
    <xf numFmtId="0" fontId="0" fillId="32" borderId="31" xfId="0" applyFill="1" applyBorder="1" applyAlignment="1">
      <alignment vertical="center"/>
    </xf>
    <xf numFmtId="171" fontId="4" fillId="0" borderId="53" xfId="0" applyNumberFormat="1" applyFont="1" applyFill="1" applyBorder="1" applyAlignment="1">
      <alignment horizontal="center"/>
    </xf>
    <xf numFmtId="39" fontId="23" fillId="0" borderId="40" xfId="0" applyNumberFormat="1" applyFont="1" applyFill="1" applyBorder="1" applyAlignment="1" applyProtection="1">
      <alignment horizontal="center"/>
      <protection hidden="1" locked="0"/>
    </xf>
    <xf numFmtId="39" fontId="23" fillId="0" borderId="53" xfId="0" applyNumberFormat="1" applyFont="1" applyFill="1" applyBorder="1" applyAlignment="1" applyProtection="1">
      <alignment horizontal="center"/>
      <protection hidden="1" locked="0"/>
    </xf>
    <xf numFmtId="39" fontId="23" fillId="0" borderId="39" xfId="0" applyNumberFormat="1" applyFont="1" applyFill="1" applyBorder="1" applyAlignment="1" applyProtection="1">
      <alignment horizontal="center"/>
      <protection hidden="1" locked="0"/>
    </xf>
    <xf numFmtId="171" fontId="4" fillId="0" borderId="40" xfId="0" applyNumberFormat="1" applyFont="1" applyFill="1" applyBorder="1" applyAlignment="1">
      <alignment horizontal="center"/>
    </xf>
    <xf numFmtId="171" fontId="4" fillId="0" borderId="39" xfId="0" applyNumberFormat="1" applyFont="1" applyFill="1" applyBorder="1" applyAlignment="1">
      <alignment horizontal="center"/>
    </xf>
    <xf numFmtId="39" fontId="7" fillId="0" borderId="41" xfId="0" applyNumberFormat="1" applyFont="1" applyBorder="1" applyAlignment="1">
      <alignment horizontal="left"/>
    </xf>
    <xf numFmtId="0" fontId="0" fillId="0" borderId="66" xfId="0" applyBorder="1" applyAlignment="1">
      <alignment/>
    </xf>
    <xf numFmtId="0" fontId="0" fillId="0" borderId="34" xfId="0" applyBorder="1" applyAlignment="1">
      <alignment/>
    </xf>
    <xf numFmtId="0" fontId="21" fillId="36" borderId="67" xfId="0" applyFont="1" applyFill="1" applyBorder="1" applyAlignment="1">
      <alignment horizontal="center"/>
    </xf>
    <xf numFmtId="0" fontId="21" fillId="36" borderId="68" xfId="0" applyFont="1" applyFill="1" applyBorder="1" applyAlignment="1">
      <alignment horizontal="center"/>
    </xf>
    <xf numFmtId="0" fontId="21" fillId="36" borderId="69" xfId="0" applyFont="1" applyFill="1" applyBorder="1" applyAlignment="1">
      <alignment horizontal="center"/>
    </xf>
    <xf numFmtId="39" fontId="2" fillId="0" borderId="0" xfId="0" applyNumberFormat="1" applyFont="1" applyBorder="1" applyAlignment="1">
      <alignment horizontal="left"/>
    </xf>
    <xf numFmtId="39" fontId="7" fillId="0" borderId="70" xfId="0" applyNumberFormat="1" applyFont="1" applyBorder="1" applyAlignment="1">
      <alignment wrapText="1"/>
    </xf>
    <xf numFmtId="0" fontId="0" fillId="0" borderId="71" xfId="0" applyFont="1" applyBorder="1" applyAlignment="1">
      <alignment wrapText="1"/>
    </xf>
    <xf numFmtId="0" fontId="0" fillId="0" borderId="72" xfId="0" applyFont="1" applyBorder="1" applyAlignment="1">
      <alignment wrapText="1"/>
    </xf>
    <xf numFmtId="0" fontId="2" fillId="0" borderId="0" xfId="0" applyFont="1" applyAlignment="1">
      <alignment horizontal="center"/>
    </xf>
    <xf numFmtId="39" fontId="23" fillId="36" borderId="33" xfId="0" applyNumberFormat="1" applyFont="1" applyFill="1" applyBorder="1" applyAlignment="1">
      <alignment horizontal="center"/>
    </xf>
    <xf numFmtId="39" fontId="23" fillId="36" borderId="36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 vertical="top"/>
    </xf>
    <xf numFmtId="0" fontId="4" fillId="0" borderId="73" xfId="0" applyFont="1" applyBorder="1" applyAlignment="1">
      <alignment/>
    </xf>
    <xf numFmtId="0" fontId="4" fillId="0" borderId="74" xfId="0" applyFont="1" applyBorder="1" applyAlignment="1">
      <alignment/>
    </xf>
    <xf numFmtId="0" fontId="4" fillId="0" borderId="75" xfId="0" applyFont="1" applyBorder="1" applyAlignment="1">
      <alignment/>
    </xf>
    <xf numFmtId="0" fontId="4" fillId="0" borderId="53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9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76" xfId="0" applyFont="1" applyBorder="1" applyAlignment="1">
      <alignment/>
    </xf>
    <xf numFmtId="39" fontId="7" fillId="0" borderId="42" xfId="0" applyNumberFormat="1" applyFont="1" applyBorder="1" applyAlignment="1">
      <alignment/>
    </xf>
    <xf numFmtId="0" fontId="22" fillId="0" borderId="77" xfId="0" applyFont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66675</xdr:rowOff>
    </xdr:from>
    <xdr:to>
      <xdr:col>1</xdr:col>
      <xdr:colOff>485775</xdr:colOff>
      <xdr:row>4</xdr:row>
      <xdr:rowOff>114300</xdr:rowOff>
    </xdr:to>
    <xdr:pic>
      <xdr:nvPicPr>
        <xdr:cNvPr id="1" name="Picture 1" descr="Brasão Prefeitura Santo Antonio de Pos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6675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66675</xdr:rowOff>
    </xdr:from>
    <xdr:to>
      <xdr:col>2</xdr:col>
      <xdr:colOff>333375</xdr:colOff>
      <xdr:row>4</xdr:row>
      <xdr:rowOff>200025</xdr:rowOff>
    </xdr:to>
    <xdr:pic>
      <xdr:nvPicPr>
        <xdr:cNvPr id="1" name="Picture 1" descr="Brasão Prefeitura Santo Antonio de Pos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0050"/>
          <a:ext cx="628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</xdr:row>
      <xdr:rowOff>28575</xdr:rowOff>
    </xdr:from>
    <xdr:to>
      <xdr:col>2</xdr:col>
      <xdr:colOff>228600</xdr:colOff>
      <xdr:row>4</xdr:row>
      <xdr:rowOff>161925</xdr:rowOff>
    </xdr:to>
    <xdr:pic>
      <xdr:nvPicPr>
        <xdr:cNvPr id="1" name="Picture 1" descr="Brasão Prefeitura Santo Antonio de Pos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61950"/>
          <a:ext cx="581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36"/>
  <sheetViews>
    <sheetView showGridLines="0" view="pageBreakPreview" zoomScale="90" zoomScaleNormal="85" zoomScaleSheetLayoutView="90" zoomScalePageLayoutView="0" workbookViewId="0" topLeftCell="A1">
      <selection activeCell="B4" sqref="B4:F4"/>
    </sheetView>
  </sheetViews>
  <sheetFormatPr defaultColWidth="9.140625" defaultRowHeight="12.75"/>
  <cols>
    <col min="1" max="1" width="7.7109375" style="0" customWidth="1"/>
    <col min="2" max="2" width="61.7109375" style="0" customWidth="1"/>
    <col min="3" max="3" width="19.7109375" style="0" customWidth="1"/>
    <col min="4" max="4" width="12.7109375" style="0" customWidth="1"/>
    <col min="5" max="5" width="6.00390625" style="0" customWidth="1"/>
    <col min="6" max="7" width="12.7109375" style="0" customWidth="1"/>
    <col min="8" max="8" width="15.7109375" style="0" customWidth="1"/>
    <col min="9" max="9" width="10.00390625" style="0" bestFit="1" customWidth="1"/>
  </cols>
  <sheetData>
    <row r="3" spans="1:7" ht="12.75">
      <c r="A3" s="1"/>
      <c r="B3" s="362" t="s">
        <v>0</v>
      </c>
      <c r="C3" s="362"/>
      <c r="D3" s="362"/>
      <c r="E3" s="362"/>
      <c r="F3" s="362"/>
      <c r="G3" s="2"/>
    </row>
    <row r="4" spans="1:7" ht="12.75">
      <c r="A4" s="1"/>
      <c r="B4" s="362" t="s">
        <v>1</v>
      </c>
      <c r="C4" s="362"/>
      <c r="D4" s="362"/>
      <c r="E4" s="362"/>
      <c r="F4" s="362"/>
      <c r="G4" s="2"/>
    </row>
    <row r="5" spans="1:7" ht="14.25" thickBot="1">
      <c r="A5" s="1"/>
      <c r="B5" s="177"/>
      <c r="C5" s="177"/>
      <c r="D5" s="177"/>
      <c r="E5" s="177"/>
      <c r="F5" s="177"/>
      <c r="G5" s="192"/>
    </row>
    <row r="6" spans="1:8" ht="16.5" thickTop="1">
      <c r="A6" s="363" t="s">
        <v>2</v>
      </c>
      <c r="B6" s="364"/>
      <c r="C6" s="364"/>
      <c r="D6" s="364"/>
      <c r="E6" s="364"/>
      <c r="F6" s="364"/>
      <c r="G6" s="365"/>
      <c r="H6" s="3"/>
    </row>
    <row r="7" spans="1:8" ht="4.5" customHeight="1">
      <c r="A7" s="4"/>
      <c r="B7" s="5"/>
      <c r="C7" s="5"/>
      <c r="D7" s="5"/>
      <c r="E7" s="5"/>
      <c r="F7" s="5"/>
      <c r="G7" s="6"/>
      <c r="H7" s="3"/>
    </row>
    <row r="8" spans="1:8" ht="13.5" customHeight="1">
      <c r="A8" s="358" t="s">
        <v>483</v>
      </c>
      <c r="B8" s="359"/>
      <c r="C8" s="359"/>
      <c r="D8" s="359"/>
      <c r="E8" s="359"/>
      <c r="F8" s="357"/>
      <c r="G8" s="366"/>
      <c r="H8" s="3"/>
    </row>
    <row r="9" spans="1:8" ht="15.75">
      <c r="A9" s="355" t="s">
        <v>484</v>
      </c>
      <c r="B9" s="356"/>
      <c r="C9" s="356"/>
      <c r="D9" s="356"/>
      <c r="E9" s="357"/>
      <c r="F9" s="357"/>
      <c r="G9" s="6"/>
      <c r="H9" s="3"/>
    </row>
    <row r="10" spans="1:8" ht="13.5" customHeight="1">
      <c r="A10" s="358" t="s">
        <v>388</v>
      </c>
      <c r="B10" s="359"/>
      <c r="C10" s="359"/>
      <c r="D10" s="359"/>
      <c r="E10" s="357"/>
      <c r="F10" s="357"/>
      <c r="G10" s="6"/>
      <c r="H10" s="3"/>
    </row>
    <row r="11" spans="1:8" ht="13.5" customHeight="1" thickBot="1">
      <c r="A11" s="311" t="s">
        <v>479</v>
      </c>
      <c r="B11" s="7"/>
      <c r="C11" s="7"/>
      <c r="D11" s="5"/>
      <c r="E11" s="5"/>
      <c r="F11" s="5"/>
      <c r="G11" s="6"/>
      <c r="H11" s="138"/>
    </row>
    <row r="12" spans="1:8" ht="14.25" thickBot="1" thickTop="1">
      <c r="A12" s="8" t="s">
        <v>3</v>
      </c>
      <c r="B12" s="8" t="s">
        <v>4</v>
      </c>
      <c r="C12" s="8" t="s">
        <v>5</v>
      </c>
      <c r="D12" s="8" t="s">
        <v>6</v>
      </c>
      <c r="E12" s="8" t="s">
        <v>7</v>
      </c>
      <c r="F12" s="353" t="s">
        <v>268</v>
      </c>
      <c r="G12" s="354"/>
      <c r="H12" s="138"/>
    </row>
    <row r="13" spans="1:8" ht="14.25" thickBot="1" thickTop="1">
      <c r="A13" s="9"/>
      <c r="B13" s="10"/>
      <c r="C13" s="9" t="s">
        <v>354</v>
      </c>
      <c r="D13" s="9"/>
      <c r="E13" s="9"/>
      <c r="F13" s="11" t="s">
        <v>8</v>
      </c>
      <c r="G13" s="11" t="s">
        <v>9</v>
      </c>
      <c r="H13" s="138"/>
    </row>
    <row r="14" spans="1:8" ht="19.5" customHeight="1" thickTop="1">
      <c r="A14" s="73"/>
      <c r="B14" s="74" t="s">
        <v>232</v>
      </c>
      <c r="C14" s="74"/>
      <c r="D14" s="75"/>
      <c r="E14" s="76"/>
      <c r="F14" s="75"/>
      <c r="G14" s="77"/>
      <c r="H14" s="138"/>
    </row>
    <row r="15" spans="1:8" ht="15" customHeight="1">
      <c r="A15" s="67">
        <v>1</v>
      </c>
      <c r="B15" s="68" t="s">
        <v>10</v>
      </c>
      <c r="C15" s="68"/>
      <c r="D15" s="69"/>
      <c r="E15" s="70"/>
      <c r="F15" s="71"/>
      <c r="G15" s="72"/>
      <c r="H15" s="138"/>
    </row>
    <row r="16" spans="1:8" ht="12.75" customHeight="1">
      <c r="A16" s="12" t="s">
        <v>11</v>
      </c>
      <c r="B16" s="18" t="s">
        <v>212</v>
      </c>
      <c r="C16" s="13" t="s">
        <v>210</v>
      </c>
      <c r="D16" s="14">
        <v>600</v>
      </c>
      <c r="E16" s="15" t="s">
        <v>12</v>
      </c>
      <c r="F16" s="16">
        <v>0.47</v>
      </c>
      <c r="G16" s="17">
        <f>D16*F16</f>
        <v>282</v>
      </c>
      <c r="H16" s="138"/>
    </row>
    <row r="17" spans="1:8" ht="12.75" customHeight="1">
      <c r="A17" s="12" t="s">
        <v>13</v>
      </c>
      <c r="B17" s="18" t="s">
        <v>364</v>
      </c>
      <c r="C17" s="13" t="s">
        <v>214</v>
      </c>
      <c r="D17" s="14">
        <v>420</v>
      </c>
      <c r="E17" s="15" t="s">
        <v>17</v>
      </c>
      <c r="F17" s="16">
        <v>5.08</v>
      </c>
      <c r="G17" s="17">
        <f>D17*F17</f>
        <v>2133.6</v>
      </c>
      <c r="H17" s="138"/>
    </row>
    <row r="18" spans="1:8" ht="12.75" customHeight="1">
      <c r="A18" s="12" t="s">
        <v>14</v>
      </c>
      <c r="B18" s="18" t="s">
        <v>215</v>
      </c>
      <c r="C18" s="13" t="s">
        <v>216</v>
      </c>
      <c r="D18" s="14">
        <v>420</v>
      </c>
      <c r="E18" s="15" t="s">
        <v>17</v>
      </c>
      <c r="F18" s="16">
        <v>2.17</v>
      </c>
      <c r="G18" s="17">
        <f>D18*F18</f>
        <v>911.4</v>
      </c>
      <c r="H18" s="138"/>
    </row>
    <row r="19" spans="1:8" ht="12.75" customHeight="1">
      <c r="A19" s="12" t="s">
        <v>16</v>
      </c>
      <c r="B19" s="18" t="s">
        <v>259</v>
      </c>
      <c r="C19" s="13" t="s">
        <v>258</v>
      </c>
      <c r="D19" s="14">
        <v>420</v>
      </c>
      <c r="E19" s="15" t="s">
        <v>17</v>
      </c>
      <c r="F19" s="16">
        <v>4.02</v>
      </c>
      <c r="G19" s="17">
        <f>D19*F19</f>
        <v>1688.3999999999999</v>
      </c>
      <c r="H19" s="138"/>
    </row>
    <row r="20" spans="1:8" ht="12.75" customHeight="1" thickBot="1">
      <c r="A20" s="12" t="s">
        <v>213</v>
      </c>
      <c r="B20" s="18" t="s">
        <v>15</v>
      </c>
      <c r="C20" s="13" t="s">
        <v>211</v>
      </c>
      <c r="D20" s="14">
        <v>305.39</v>
      </c>
      <c r="E20" s="15" t="s">
        <v>12</v>
      </c>
      <c r="F20" s="16">
        <v>4.52</v>
      </c>
      <c r="G20" s="17">
        <f>D20*F20</f>
        <v>1380.3627999999999</v>
      </c>
      <c r="H20" s="139"/>
    </row>
    <row r="21" spans="1:8" ht="15" customHeight="1" thickBot="1" thickTop="1">
      <c r="A21" s="19"/>
      <c r="B21" s="20" t="s">
        <v>200</v>
      </c>
      <c r="C21" s="21"/>
      <c r="D21" s="22"/>
      <c r="E21" s="23"/>
      <c r="F21" s="24"/>
      <c r="G21" s="25">
        <f>SUM(G16:G20)</f>
        <v>6395.7627999999995</v>
      </c>
      <c r="H21" s="138"/>
    </row>
    <row r="22" spans="1:8" ht="15" customHeight="1" thickTop="1">
      <c r="A22" s="83">
        <v>2</v>
      </c>
      <c r="B22" s="84" t="s">
        <v>18</v>
      </c>
      <c r="C22" s="85"/>
      <c r="D22" s="86"/>
      <c r="E22" s="87"/>
      <c r="F22" s="88"/>
      <c r="G22" s="89"/>
      <c r="H22" s="138"/>
    </row>
    <row r="23" spans="1:8" ht="12.75" customHeight="1">
      <c r="A23" s="12" t="s">
        <v>19</v>
      </c>
      <c r="B23" s="26" t="s">
        <v>371</v>
      </c>
      <c r="C23" s="28">
        <v>90877</v>
      </c>
      <c r="D23" s="14">
        <v>426</v>
      </c>
      <c r="E23" s="15" t="s">
        <v>20</v>
      </c>
      <c r="F23" s="47">
        <v>29.19</v>
      </c>
      <c r="G23" s="17">
        <f aca="true" t="shared" si="0" ref="G23:G28">D23*F23</f>
        <v>12434.94</v>
      </c>
      <c r="H23" s="138"/>
    </row>
    <row r="24" spans="1:8" ht="12.75" customHeight="1">
      <c r="A24" s="12" t="s">
        <v>21</v>
      </c>
      <c r="B24" s="26" t="s">
        <v>246</v>
      </c>
      <c r="C24" s="28" t="s">
        <v>241</v>
      </c>
      <c r="D24" s="14">
        <v>3.24</v>
      </c>
      <c r="E24" s="15" t="s">
        <v>17</v>
      </c>
      <c r="F24" s="47">
        <v>49.76</v>
      </c>
      <c r="G24" s="17">
        <f t="shared" si="0"/>
        <v>161.2224</v>
      </c>
      <c r="H24" s="140"/>
    </row>
    <row r="25" spans="1:8" ht="12.75" customHeight="1">
      <c r="A25" s="12" t="s">
        <v>22</v>
      </c>
      <c r="B25" s="26" t="s">
        <v>247</v>
      </c>
      <c r="C25" s="28" t="s">
        <v>24</v>
      </c>
      <c r="D25" s="14">
        <v>1228.2</v>
      </c>
      <c r="E25" s="15" t="s">
        <v>25</v>
      </c>
      <c r="F25" s="16">
        <v>7.54</v>
      </c>
      <c r="G25" s="17">
        <f t="shared" si="0"/>
        <v>9260.628</v>
      </c>
      <c r="H25" s="191"/>
    </row>
    <row r="26" spans="1:8" ht="12.75" customHeight="1">
      <c r="A26" s="12" t="s">
        <v>26</v>
      </c>
      <c r="B26" s="26" t="s">
        <v>256</v>
      </c>
      <c r="C26" s="28" t="s">
        <v>257</v>
      </c>
      <c r="D26" s="14">
        <v>21.82</v>
      </c>
      <c r="E26" s="15" t="s">
        <v>17</v>
      </c>
      <c r="F26" s="16">
        <v>332.92</v>
      </c>
      <c r="G26" s="17">
        <f t="shared" si="0"/>
        <v>7264.3144</v>
      </c>
      <c r="H26" s="141"/>
    </row>
    <row r="27" spans="1:8" ht="12.75" customHeight="1">
      <c r="A27" s="12" t="s">
        <v>27</v>
      </c>
      <c r="B27" s="26" t="s">
        <v>390</v>
      </c>
      <c r="C27" s="28" t="s">
        <v>34</v>
      </c>
      <c r="D27" s="51">
        <v>191.16</v>
      </c>
      <c r="E27" s="15" t="s">
        <v>12</v>
      </c>
      <c r="F27" s="16">
        <v>47.28</v>
      </c>
      <c r="G27" s="17">
        <f t="shared" si="0"/>
        <v>9038.0448</v>
      </c>
      <c r="H27" s="141"/>
    </row>
    <row r="28" spans="1:8" ht="12.75" customHeight="1">
      <c r="A28" s="12" t="s">
        <v>389</v>
      </c>
      <c r="B28" s="29" t="s">
        <v>28</v>
      </c>
      <c r="C28" s="30">
        <v>5968</v>
      </c>
      <c r="D28" s="31">
        <v>182.88</v>
      </c>
      <c r="E28" s="32" t="s">
        <v>12</v>
      </c>
      <c r="F28" s="33">
        <v>32.92</v>
      </c>
      <c r="G28" s="17">
        <f t="shared" si="0"/>
        <v>6020.4096</v>
      </c>
      <c r="H28" s="139"/>
    </row>
    <row r="29" spans="1:8" ht="12.75" customHeight="1" thickBot="1">
      <c r="A29" s="12" t="s">
        <v>454</v>
      </c>
      <c r="B29" s="29" t="s">
        <v>456</v>
      </c>
      <c r="C29" s="287" t="s">
        <v>455</v>
      </c>
      <c r="D29" s="31">
        <f>D20*0.3</f>
        <v>91.61699999999999</v>
      </c>
      <c r="E29" s="32" t="s">
        <v>17</v>
      </c>
      <c r="F29" s="33">
        <v>10.57</v>
      </c>
      <c r="G29" s="17">
        <f>D29*F29</f>
        <v>968.3916899999999</v>
      </c>
      <c r="H29" s="139"/>
    </row>
    <row r="30" spans="1:8" ht="15" customHeight="1" thickBot="1" thickTop="1">
      <c r="A30" s="19"/>
      <c r="B30" s="20" t="s">
        <v>200</v>
      </c>
      <c r="C30" s="35"/>
      <c r="D30" s="22"/>
      <c r="E30" s="23"/>
      <c r="F30" s="24"/>
      <c r="G30" s="25">
        <f>SUM(G23:G29)</f>
        <v>45147.95089</v>
      </c>
      <c r="H30" s="138"/>
    </row>
    <row r="31" spans="1:8" ht="15" customHeight="1" thickTop="1">
      <c r="A31" s="83">
        <v>3</v>
      </c>
      <c r="B31" s="84" t="s">
        <v>29</v>
      </c>
      <c r="C31" s="85"/>
      <c r="D31" s="86"/>
      <c r="E31" s="87"/>
      <c r="F31" s="88"/>
      <c r="G31" s="89"/>
      <c r="H31" s="138"/>
    </row>
    <row r="32" spans="1:8" ht="12.75" customHeight="1">
      <c r="A32" s="12" t="s">
        <v>30</v>
      </c>
      <c r="B32" s="26" t="s">
        <v>372</v>
      </c>
      <c r="C32" s="28">
        <v>87491</v>
      </c>
      <c r="D32" s="14">
        <v>759.01</v>
      </c>
      <c r="E32" s="15" t="s">
        <v>12</v>
      </c>
      <c r="F32" s="47">
        <v>46.05</v>
      </c>
      <c r="G32" s="17">
        <f>D32*F32</f>
        <v>34952.4105</v>
      </c>
      <c r="H32" s="139"/>
    </row>
    <row r="33" spans="1:8" ht="12.75" customHeight="1">
      <c r="A33" s="12" t="s">
        <v>31</v>
      </c>
      <c r="B33" s="26" t="s">
        <v>391</v>
      </c>
      <c r="C33" s="28" t="s">
        <v>24</v>
      </c>
      <c r="D33" s="14">
        <v>1100.4</v>
      </c>
      <c r="E33" s="15" t="s">
        <v>25</v>
      </c>
      <c r="F33" s="16">
        <v>7.54</v>
      </c>
      <c r="G33" s="17">
        <f>D33*F33</f>
        <v>8297.016000000001</v>
      </c>
      <c r="H33" s="191"/>
    </row>
    <row r="34" spans="1:8" ht="12.75" customHeight="1">
      <c r="A34" s="12" t="s">
        <v>32</v>
      </c>
      <c r="B34" s="26" t="s">
        <v>256</v>
      </c>
      <c r="C34" s="28" t="s">
        <v>257</v>
      </c>
      <c r="D34" s="14">
        <v>18.34</v>
      </c>
      <c r="E34" s="15" t="s">
        <v>17</v>
      </c>
      <c r="F34" s="16">
        <v>332.92</v>
      </c>
      <c r="G34" s="17">
        <f>D34*F34</f>
        <v>6105.7528</v>
      </c>
      <c r="H34" s="141"/>
    </row>
    <row r="35" spans="1:8" ht="12.75" customHeight="1">
      <c r="A35" s="12" t="s">
        <v>33</v>
      </c>
      <c r="B35" s="26" t="s">
        <v>379</v>
      </c>
      <c r="C35" s="28" t="s">
        <v>34</v>
      </c>
      <c r="D35" s="14">
        <v>47.63</v>
      </c>
      <c r="E35" s="15" t="s">
        <v>12</v>
      </c>
      <c r="F35" s="16">
        <v>47.28</v>
      </c>
      <c r="G35" s="17">
        <f>D35*F35</f>
        <v>2251.9464000000003</v>
      </c>
      <c r="H35" s="136"/>
    </row>
    <row r="36" spans="1:8" ht="12.75" customHeight="1" thickBot="1">
      <c r="A36" s="12" t="s">
        <v>35</v>
      </c>
      <c r="B36" s="26" t="s">
        <v>248</v>
      </c>
      <c r="C36" s="27" t="s">
        <v>36</v>
      </c>
      <c r="D36" s="14">
        <v>281.26</v>
      </c>
      <c r="E36" s="15" t="s">
        <v>12</v>
      </c>
      <c r="F36" s="16">
        <v>61.99</v>
      </c>
      <c r="G36" s="17">
        <f>D36*F36</f>
        <v>17435.3074</v>
      </c>
      <c r="H36" s="139"/>
    </row>
    <row r="37" spans="1:8" ht="15" customHeight="1" thickBot="1" thickTop="1">
      <c r="A37" s="36"/>
      <c r="B37" s="37" t="s">
        <v>200</v>
      </c>
      <c r="C37" s="38"/>
      <c r="D37" s="39"/>
      <c r="E37" s="40"/>
      <c r="F37" s="41"/>
      <c r="G37" s="25">
        <f>SUM(G32:G36)</f>
        <v>69042.43310000001</v>
      </c>
      <c r="H37" s="138"/>
    </row>
    <row r="38" spans="1:8" ht="15" customHeight="1" thickTop="1">
      <c r="A38" s="78">
        <v>4</v>
      </c>
      <c r="B38" s="79" t="s">
        <v>308</v>
      </c>
      <c r="C38" s="80"/>
      <c r="D38" s="208"/>
      <c r="E38" s="81"/>
      <c r="F38" s="82"/>
      <c r="G38" s="77"/>
      <c r="H38" s="138"/>
    </row>
    <row r="39" spans="1:8" ht="15" customHeight="1">
      <c r="A39" s="67" t="s">
        <v>37</v>
      </c>
      <c r="B39" s="68" t="s">
        <v>309</v>
      </c>
      <c r="C39" s="90"/>
      <c r="D39" s="71"/>
      <c r="E39" s="70"/>
      <c r="F39" s="71"/>
      <c r="G39" s="72"/>
      <c r="H39" s="138"/>
    </row>
    <row r="40" spans="1:8" ht="12.75" customHeight="1">
      <c r="A40" s="42" t="s">
        <v>312</v>
      </c>
      <c r="B40" s="29" t="s">
        <v>317</v>
      </c>
      <c r="C40" s="43" t="s">
        <v>43</v>
      </c>
      <c r="D40" s="31">
        <v>8</v>
      </c>
      <c r="E40" s="32" t="s">
        <v>84</v>
      </c>
      <c r="F40" s="33">
        <v>464.98</v>
      </c>
      <c r="G40" s="34">
        <f>D40*F40</f>
        <v>3719.84</v>
      </c>
      <c r="H40" s="139"/>
    </row>
    <row r="41" spans="1:8" ht="12.75" customHeight="1">
      <c r="A41" s="42" t="s">
        <v>313</v>
      </c>
      <c r="B41" s="29" t="s">
        <v>318</v>
      </c>
      <c r="C41" s="43" t="s">
        <v>260</v>
      </c>
      <c r="D41" s="31">
        <v>15</v>
      </c>
      <c r="E41" s="32" t="s">
        <v>84</v>
      </c>
      <c r="F41" s="33">
        <v>487.27</v>
      </c>
      <c r="G41" s="34">
        <f>D41*F41</f>
        <v>7309.049999999999</v>
      </c>
      <c r="H41" s="139"/>
    </row>
    <row r="42" spans="1:9" ht="12.75" customHeight="1">
      <c r="A42" s="42" t="s">
        <v>314</v>
      </c>
      <c r="B42" s="29" t="s">
        <v>322</v>
      </c>
      <c r="C42" s="287" t="s">
        <v>321</v>
      </c>
      <c r="D42" s="31">
        <v>1</v>
      </c>
      <c r="E42" s="32" t="s">
        <v>12</v>
      </c>
      <c r="F42" s="206">
        <v>585.61</v>
      </c>
      <c r="G42" s="34">
        <f>D42*F42</f>
        <v>585.61</v>
      </c>
      <c r="H42" s="285"/>
      <c r="I42" s="286"/>
    </row>
    <row r="43" spans="1:9" ht="12.75" customHeight="1">
      <c r="A43" s="42" t="s">
        <v>315</v>
      </c>
      <c r="B43" s="29" t="s">
        <v>319</v>
      </c>
      <c r="C43" s="287" t="s">
        <v>323</v>
      </c>
      <c r="D43" s="31">
        <v>1</v>
      </c>
      <c r="E43" s="32" t="s">
        <v>12</v>
      </c>
      <c r="F43" s="206">
        <v>417.79</v>
      </c>
      <c r="G43" s="34">
        <f>D43*F43</f>
        <v>417.79</v>
      </c>
      <c r="H43" s="285"/>
      <c r="I43" s="286"/>
    </row>
    <row r="44" spans="1:8" ht="12.75" customHeight="1">
      <c r="A44" s="42" t="s">
        <v>316</v>
      </c>
      <c r="B44" s="29" t="s">
        <v>320</v>
      </c>
      <c r="C44" s="43" t="s">
        <v>261</v>
      </c>
      <c r="D44" s="31">
        <v>1</v>
      </c>
      <c r="E44" s="32" t="s">
        <v>41</v>
      </c>
      <c r="F44" s="33">
        <v>599.48</v>
      </c>
      <c r="G44" s="34">
        <f>D44*F44</f>
        <v>599.48</v>
      </c>
      <c r="H44" s="189"/>
    </row>
    <row r="45" spans="1:8" ht="15" customHeight="1">
      <c r="A45" s="67" t="s">
        <v>38</v>
      </c>
      <c r="B45" s="68" t="s">
        <v>310</v>
      </c>
      <c r="C45" s="90"/>
      <c r="D45" s="71"/>
      <c r="E45" s="70"/>
      <c r="F45" s="71"/>
      <c r="G45" s="72"/>
      <c r="H45" s="189"/>
    </row>
    <row r="46" spans="1:9" ht="12.75" customHeight="1">
      <c r="A46" s="42" t="s">
        <v>324</v>
      </c>
      <c r="B46" s="26" t="s">
        <v>325</v>
      </c>
      <c r="C46" s="43" t="s">
        <v>326</v>
      </c>
      <c r="D46" s="51">
        <v>2.52</v>
      </c>
      <c r="E46" s="15" t="s">
        <v>12</v>
      </c>
      <c r="F46" s="16">
        <v>583.06</v>
      </c>
      <c r="G46" s="17">
        <f>D46*F46</f>
        <v>1469.3111999999999</v>
      </c>
      <c r="H46" s="285"/>
      <c r="I46" s="286"/>
    </row>
    <row r="47" spans="1:9" ht="12.75" customHeight="1">
      <c r="A47" s="42" t="s">
        <v>327</v>
      </c>
      <c r="B47" s="26" t="s">
        <v>392</v>
      </c>
      <c r="C47" s="43" t="s">
        <v>326</v>
      </c>
      <c r="D47" s="51">
        <v>2.3</v>
      </c>
      <c r="E47" s="15" t="s">
        <v>12</v>
      </c>
      <c r="F47" s="16">
        <v>583.06</v>
      </c>
      <c r="G47" s="17">
        <f>D47*F47</f>
        <v>1341.0379999999998</v>
      </c>
      <c r="H47" s="285"/>
      <c r="I47" s="286"/>
    </row>
    <row r="48" spans="1:9" ht="12.75" customHeight="1">
      <c r="A48" s="42" t="s">
        <v>328</v>
      </c>
      <c r="B48" s="26" t="s">
        <v>393</v>
      </c>
      <c r="C48" s="287" t="s">
        <v>329</v>
      </c>
      <c r="D48" s="14">
        <v>0.6</v>
      </c>
      <c r="E48" s="15" t="s">
        <v>12</v>
      </c>
      <c r="F48" s="47">
        <v>502.38</v>
      </c>
      <c r="G48" s="17">
        <f>D48*F48</f>
        <v>301.428</v>
      </c>
      <c r="H48" s="285"/>
      <c r="I48" s="286"/>
    </row>
    <row r="49" spans="1:8" ht="15" customHeight="1">
      <c r="A49" s="67" t="s">
        <v>42</v>
      </c>
      <c r="B49" s="68" t="s">
        <v>311</v>
      </c>
      <c r="C49" s="90"/>
      <c r="D49" s="71"/>
      <c r="E49" s="70"/>
      <c r="F49" s="71"/>
      <c r="G49" s="72"/>
      <c r="H49" s="189"/>
    </row>
    <row r="50" spans="1:8" ht="12.75" customHeight="1">
      <c r="A50" s="42" t="s">
        <v>330</v>
      </c>
      <c r="B50" s="26" t="s">
        <v>39</v>
      </c>
      <c r="C50" s="28" t="s">
        <v>40</v>
      </c>
      <c r="D50" s="14">
        <v>3</v>
      </c>
      <c r="E50" s="15" t="s">
        <v>41</v>
      </c>
      <c r="F50" s="16">
        <v>90.2</v>
      </c>
      <c r="G50" s="17">
        <f aca="true" t="shared" si="1" ref="G50:G57">D50*F50</f>
        <v>270.6</v>
      </c>
      <c r="H50" s="189"/>
    </row>
    <row r="51" spans="1:8" ht="12.75" customHeight="1">
      <c r="A51" s="42" t="s">
        <v>331</v>
      </c>
      <c r="B51" s="26" t="s">
        <v>395</v>
      </c>
      <c r="C51" s="287" t="s">
        <v>411</v>
      </c>
      <c r="D51" s="14">
        <f>0.8*8</f>
        <v>6.4</v>
      </c>
      <c r="E51" s="15" t="s">
        <v>12</v>
      </c>
      <c r="F51" s="16">
        <v>283.69</v>
      </c>
      <c r="G51" s="17">
        <f t="shared" si="1"/>
        <v>1815.616</v>
      </c>
      <c r="H51" s="189"/>
    </row>
    <row r="52" spans="1:8" ht="12.75" customHeight="1">
      <c r="A52" s="42" t="s">
        <v>332</v>
      </c>
      <c r="B52" s="26" t="s">
        <v>396</v>
      </c>
      <c r="C52" s="287" t="s">
        <v>411</v>
      </c>
      <c r="D52" s="14">
        <f>1.6*9</f>
        <v>14.4</v>
      </c>
      <c r="E52" s="15" t="s">
        <v>12</v>
      </c>
      <c r="F52" s="16">
        <v>283.69</v>
      </c>
      <c r="G52" s="17">
        <f t="shared" si="1"/>
        <v>4085.136</v>
      </c>
      <c r="H52" s="189"/>
    </row>
    <row r="53" spans="1:8" ht="12.75" customHeight="1">
      <c r="A53" s="42" t="s">
        <v>333</v>
      </c>
      <c r="B53" s="26" t="s">
        <v>397</v>
      </c>
      <c r="C53" s="287" t="s">
        <v>411</v>
      </c>
      <c r="D53" s="14">
        <f>0.9*1</f>
        <v>0.9</v>
      </c>
      <c r="E53" s="15" t="s">
        <v>12</v>
      </c>
      <c r="F53" s="16">
        <v>283.69</v>
      </c>
      <c r="G53" s="17">
        <f t="shared" si="1"/>
        <v>255.321</v>
      </c>
      <c r="H53" s="189"/>
    </row>
    <row r="54" spans="1:8" ht="12.75" customHeight="1">
      <c r="A54" s="42" t="s">
        <v>394</v>
      </c>
      <c r="B54" s="26" t="s">
        <v>398</v>
      </c>
      <c r="C54" s="287" t="s">
        <v>411</v>
      </c>
      <c r="D54" s="14">
        <f>1.16*2</f>
        <v>2.32</v>
      </c>
      <c r="E54" s="15" t="s">
        <v>12</v>
      </c>
      <c r="F54" s="16">
        <v>283.69</v>
      </c>
      <c r="G54" s="17">
        <f t="shared" si="1"/>
        <v>658.1608</v>
      </c>
      <c r="H54" s="189"/>
    </row>
    <row r="55" spans="1:8" ht="12.75" customHeight="1">
      <c r="A55" s="42" t="s">
        <v>399</v>
      </c>
      <c r="B55" s="26" t="s">
        <v>400</v>
      </c>
      <c r="C55" s="287" t="s">
        <v>411</v>
      </c>
      <c r="D55" s="14">
        <v>0.7</v>
      </c>
      <c r="E55" s="15" t="s">
        <v>12</v>
      </c>
      <c r="F55" s="16">
        <v>283.69</v>
      </c>
      <c r="G55" s="17">
        <f t="shared" si="1"/>
        <v>198.583</v>
      </c>
      <c r="H55" s="189"/>
    </row>
    <row r="56" spans="1:8" ht="12.75" customHeight="1">
      <c r="A56" s="42" t="s">
        <v>402</v>
      </c>
      <c r="B56" s="26" t="s">
        <v>401</v>
      </c>
      <c r="C56" s="287" t="s">
        <v>411</v>
      </c>
      <c r="D56" s="14">
        <v>0.76</v>
      </c>
      <c r="E56" s="15" t="s">
        <v>12</v>
      </c>
      <c r="F56" s="16">
        <v>283.69</v>
      </c>
      <c r="G56" s="17">
        <f t="shared" si="1"/>
        <v>215.6044</v>
      </c>
      <c r="H56" s="189"/>
    </row>
    <row r="57" spans="1:9" ht="12.75" customHeight="1" thickBot="1">
      <c r="A57" s="42" t="s">
        <v>403</v>
      </c>
      <c r="B57" s="26" t="s">
        <v>404</v>
      </c>
      <c r="C57" s="28" t="s">
        <v>373</v>
      </c>
      <c r="D57" s="14">
        <v>16</v>
      </c>
      <c r="E57" s="15" t="s">
        <v>12</v>
      </c>
      <c r="F57" s="16">
        <v>284.51</v>
      </c>
      <c r="G57" s="17">
        <f t="shared" si="1"/>
        <v>4552.16</v>
      </c>
      <c r="H57" s="285"/>
      <c r="I57" s="286"/>
    </row>
    <row r="58" spans="1:8" ht="15" customHeight="1" thickBot="1" thickTop="1">
      <c r="A58" s="36"/>
      <c r="B58" s="37" t="s">
        <v>200</v>
      </c>
      <c r="C58" s="38"/>
      <c r="D58" s="39"/>
      <c r="E58" s="40"/>
      <c r="F58" s="41"/>
      <c r="G58" s="25">
        <f>SUM(G40:G57)</f>
        <v>27794.7284</v>
      </c>
      <c r="H58" s="138"/>
    </row>
    <row r="59" spans="1:8" ht="15" customHeight="1" thickTop="1">
      <c r="A59" s="83">
        <v>5</v>
      </c>
      <c r="B59" s="84" t="s">
        <v>406</v>
      </c>
      <c r="C59" s="85"/>
      <c r="D59" s="86"/>
      <c r="E59" s="87"/>
      <c r="F59" s="88"/>
      <c r="G59" s="89"/>
      <c r="H59" s="138"/>
    </row>
    <row r="60" spans="1:8" ht="12.75" customHeight="1">
      <c r="A60" s="42" t="s">
        <v>44</v>
      </c>
      <c r="B60" s="26" t="s">
        <v>407</v>
      </c>
      <c r="C60" s="287" t="s">
        <v>412</v>
      </c>
      <c r="D60" s="51">
        <v>25.48</v>
      </c>
      <c r="E60" s="15" t="s">
        <v>12</v>
      </c>
      <c r="F60" s="16">
        <v>69.11</v>
      </c>
      <c r="G60" s="17">
        <f>D60*F60</f>
        <v>1760.9228</v>
      </c>
      <c r="H60" s="138"/>
    </row>
    <row r="61" spans="1:8" ht="12.75" customHeight="1">
      <c r="A61" s="347" t="s">
        <v>222</v>
      </c>
      <c r="B61" s="29" t="s">
        <v>408</v>
      </c>
      <c r="C61" s="306" t="s">
        <v>334</v>
      </c>
      <c r="D61" s="349">
        <v>1</v>
      </c>
      <c r="E61" s="349" t="s">
        <v>84</v>
      </c>
      <c r="F61" s="349">
        <v>856.57</v>
      </c>
      <c r="G61" s="360">
        <f>D61*F61</f>
        <v>856.57</v>
      </c>
      <c r="H61" s="138"/>
    </row>
    <row r="62" spans="1:8" ht="12.75" customHeight="1">
      <c r="A62" s="348"/>
      <c r="B62" s="207"/>
      <c r="C62" s="307" t="s">
        <v>335</v>
      </c>
      <c r="D62" s="350"/>
      <c r="E62" s="350"/>
      <c r="F62" s="350"/>
      <c r="G62" s="361"/>
      <c r="H62" s="138"/>
    </row>
    <row r="63" spans="1:8" ht="12.75" customHeight="1">
      <c r="A63" s="347" t="s">
        <v>306</v>
      </c>
      <c r="B63" s="29" t="s">
        <v>409</v>
      </c>
      <c r="C63" s="306" t="s">
        <v>334</v>
      </c>
      <c r="D63" s="349">
        <v>1</v>
      </c>
      <c r="E63" s="349" t="s">
        <v>84</v>
      </c>
      <c r="F63" s="349">
        <v>1842.45</v>
      </c>
      <c r="G63" s="360">
        <f>D63*F63</f>
        <v>1842.45</v>
      </c>
      <c r="H63" s="138"/>
    </row>
    <row r="64" spans="1:8" ht="12.75" customHeight="1">
      <c r="A64" s="348"/>
      <c r="B64" s="207"/>
      <c r="C64" s="307" t="s">
        <v>335</v>
      </c>
      <c r="D64" s="350"/>
      <c r="E64" s="350"/>
      <c r="F64" s="350"/>
      <c r="G64" s="361"/>
      <c r="H64" s="138"/>
    </row>
    <row r="65" spans="1:8" ht="12.75" customHeight="1">
      <c r="A65" s="347" t="s">
        <v>307</v>
      </c>
      <c r="B65" s="29" t="s">
        <v>413</v>
      </c>
      <c r="C65" s="306" t="s">
        <v>334</v>
      </c>
      <c r="D65" s="349">
        <v>1</v>
      </c>
      <c r="E65" s="349" t="s">
        <v>84</v>
      </c>
      <c r="F65" s="349">
        <v>3506.81</v>
      </c>
      <c r="G65" s="360">
        <f>D65*F65</f>
        <v>3506.81</v>
      </c>
      <c r="H65" s="138"/>
    </row>
    <row r="66" spans="1:8" ht="12.75" customHeight="1" thickBot="1">
      <c r="A66" s="348"/>
      <c r="B66" s="207"/>
      <c r="C66" s="308">
        <v>282037</v>
      </c>
      <c r="D66" s="350"/>
      <c r="E66" s="350"/>
      <c r="F66" s="350"/>
      <c r="G66" s="361"/>
      <c r="H66" s="138"/>
    </row>
    <row r="67" spans="1:8" ht="15" customHeight="1" thickBot="1" thickTop="1">
      <c r="A67" s="36"/>
      <c r="B67" s="37" t="s">
        <v>200</v>
      </c>
      <c r="C67" s="38"/>
      <c r="D67" s="39"/>
      <c r="E67" s="40"/>
      <c r="F67" s="41"/>
      <c r="G67" s="25">
        <f>SUM(G60:G66)</f>
        <v>7966.7528</v>
      </c>
      <c r="H67" s="138"/>
    </row>
    <row r="68" spans="1:8" ht="15" customHeight="1" thickTop="1">
      <c r="A68" s="83">
        <v>6</v>
      </c>
      <c r="B68" s="84" t="s">
        <v>45</v>
      </c>
      <c r="C68" s="85"/>
      <c r="D68" s="86"/>
      <c r="E68" s="87"/>
      <c r="F68" s="88"/>
      <c r="G68" s="89"/>
      <c r="H68" s="138"/>
    </row>
    <row r="69" spans="1:8" ht="12.75" customHeight="1">
      <c r="A69" s="12" t="s">
        <v>46</v>
      </c>
      <c r="B69" s="26" t="s">
        <v>267</v>
      </c>
      <c r="C69" s="28">
        <v>84007</v>
      </c>
      <c r="D69" s="14">
        <v>305.99</v>
      </c>
      <c r="E69" s="15" t="s">
        <v>12</v>
      </c>
      <c r="F69" s="47">
        <v>28.37</v>
      </c>
      <c r="G69" s="17">
        <f aca="true" t="shared" si="2" ref="G69:G75">D69*F69</f>
        <v>8680.936300000001</v>
      </c>
      <c r="H69" s="139"/>
    </row>
    <row r="70" spans="1:8" ht="12.75" customHeight="1">
      <c r="A70" s="12" t="s">
        <v>47</v>
      </c>
      <c r="B70" s="26" t="s">
        <v>249</v>
      </c>
      <c r="C70" s="28">
        <v>84037</v>
      </c>
      <c r="D70" s="14">
        <v>305.99</v>
      </c>
      <c r="E70" s="15" t="s">
        <v>12</v>
      </c>
      <c r="F70" s="47">
        <v>40.72</v>
      </c>
      <c r="G70" s="17">
        <f t="shared" si="2"/>
        <v>12459.9128</v>
      </c>
      <c r="H70" s="139"/>
    </row>
    <row r="71" spans="1:8" ht="12.75" customHeight="1">
      <c r="A71" s="12" t="s">
        <v>48</v>
      </c>
      <c r="B71" s="26" t="s">
        <v>265</v>
      </c>
      <c r="C71" s="288" t="s">
        <v>266</v>
      </c>
      <c r="D71" s="51">
        <v>19.8</v>
      </c>
      <c r="E71" s="48" t="s">
        <v>12</v>
      </c>
      <c r="F71" s="47">
        <v>151.42</v>
      </c>
      <c r="G71" s="17">
        <f t="shared" si="2"/>
        <v>2998.116</v>
      </c>
      <c r="H71" s="139"/>
    </row>
    <row r="72" spans="1:8" ht="12.75" customHeight="1">
      <c r="A72" s="12" t="s">
        <v>50</v>
      </c>
      <c r="B72" s="26" t="s">
        <v>49</v>
      </c>
      <c r="C72" s="28">
        <v>72105</v>
      </c>
      <c r="D72" s="14">
        <v>71.11</v>
      </c>
      <c r="E72" s="15" t="s">
        <v>20</v>
      </c>
      <c r="F72" s="16">
        <v>43.6</v>
      </c>
      <c r="G72" s="17">
        <f t="shared" si="2"/>
        <v>3100.396</v>
      </c>
      <c r="H72" s="138"/>
    </row>
    <row r="73" spans="1:8" ht="12.75" customHeight="1">
      <c r="A73" s="12" t="s">
        <v>52</v>
      </c>
      <c r="B73" s="26" t="s">
        <v>51</v>
      </c>
      <c r="C73" s="27">
        <v>89512</v>
      </c>
      <c r="D73" s="14">
        <v>51</v>
      </c>
      <c r="E73" s="15" t="s">
        <v>20</v>
      </c>
      <c r="F73" s="16">
        <v>37.56</v>
      </c>
      <c r="G73" s="17">
        <f t="shared" si="2"/>
        <v>1915.5600000000002</v>
      </c>
      <c r="H73" s="138"/>
    </row>
    <row r="74" spans="1:8" ht="12.75" customHeight="1">
      <c r="A74" s="12" t="s">
        <v>54</v>
      </c>
      <c r="B74" s="26" t="s">
        <v>53</v>
      </c>
      <c r="C74" s="28">
        <v>72105</v>
      </c>
      <c r="D74" s="14">
        <v>117.75</v>
      </c>
      <c r="E74" s="15" t="s">
        <v>20</v>
      </c>
      <c r="F74" s="47">
        <v>43.6</v>
      </c>
      <c r="G74" s="17">
        <f t="shared" si="2"/>
        <v>5133.900000000001</v>
      </c>
      <c r="H74" s="139"/>
    </row>
    <row r="75" spans="1:8" ht="12.75" customHeight="1" thickBot="1">
      <c r="A75" s="12" t="s">
        <v>209</v>
      </c>
      <c r="B75" s="26" t="s">
        <v>55</v>
      </c>
      <c r="C75" s="28">
        <v>72104</v>
      </c>
      <c r="D75" s="14">
        <v>71.4</v>
      </c>
      <c r="E75" s="15" t="s">
        <v>20</v>
      </c>
      <c r="F75" s="47">
        <v>28.8</v>
      </c>
      <c r="G75" s="17">
        <f t="shared" si="2"/>
        <v>2056.32</v>
      </c>
      <c r="H75" s="138"/>
    </row>
    <row r="76" spans="1:8" ht="15" customHeight="1" thickBot="1" thickTop="1">
      <c r="A76" s="36"/>
      <c r="B76" s="37" t="s">
        <v>200</v>
      </c>
      <c r="C76" s="38"/>
      <c r="D76" s="39"/>
      <c r="E76" s="40"/>
      <c r="F76" s="41"/>
      <c r="G76" s="25">
        <f>SUM(G69:G75)</f>
        <v>36345.1411</v>
      </c>
      <c r="H76" s="138"/>
    </row>
    <row r="77" spans="1:8" ht="15" customHeight="1" thickTop="1">
      <c r="A77" s="83">
        <v>7</v>
      </c>
      <c r="B77" s="84" t="s">
        <v>56</v>
      </c>
      <c r="C77" s="85"/>
      <c r="D77" s="86"/>
      <c r="E77" s="87"/>
      <c r="F77" s="88"/>
      <c r="G77" s="89"/>
      <c r="H77" s="138"/>
    </row>
    <row r="78" spans="1:8" ht="12.75" customHeight="1">
      <c r="A78" s="12" t="s">
        <v>57</v>
      </c>
      <c r="B78" s="26" t="s">
        <v>58</v>
      </c>
      <c r="C78" s="28">
        <v>87905</v>
      </c>
      <c r="D78" s="14">
        <v>1799.28</v>
      </c>
      <c r="E78" s="15" t="s">
        <v>12</v>
      </c>
      <c r="F78" s="16">
        <v>5.65</v>
      </c>
      <c r="G78" s="17">
        <f aca="true" t="shared" si="3" ref="G78:G83">D78*F78</f>
        <v>10165.932</v>
      </c>
      <c r="H78" s="138"/>
    </row>
    <row r="79" spans="1:8" ht="12.75" customHeight="1">
      <c r="A79" s="12" t="s">
        <v>59</v>
      </c>
      <c r="B79" s="26" t="s">
        <v>242</v>
      </c>
      <c r="C79" s="28">
        <v>87548</v>
      </c>
      <c r="D79" s="14">
        <v>1799.28</v>
      </c>
      <c r="E79" s="15" t="s">
        <v>12</v>
      </c>
      <c r="F79" s="47">
        <v>16.05</v>
      </c>
      <c r="G79" s="17">
        <f t="shared" si="3"/>
        <v>28878.444</v>
      </c>
      <c r="H79" s="138"/>
    </row>
    <row r="80" spans="1:8" ht="12.75" customHeight="1">
      <c r="A80" s="12" t="s">
        <v>60</v>
      </c>
      <c r="B80" s="26" t="s">
        <v>61</v>
      </c>
      <c r="C80" s="28">
        <v>87265</v>
      </c>
      <c r="D80" s="14">
        <v>387.22</v>
      </c>
      <c r="E80" s="15" t="s">
        <v>12</v>
      </c>
      <c r="F80" s="16">
        <v>37.75</v>
      </c>
      <c r="G80" s="17">
        <f t="shared" si="3"/>
        <v>14617.555</v>
      </c>
      <c r="H80" s="190"/>
    </row>
    <row r="81" spans="1:8" ht="12.75" customHeight="1">
      <c r="A81" s="12" t="s">
        <v>228</v>
      </c>
      <c r="B81" s="26" t="s">
        <v>230</v>
      </c>
      <c r="C81" s="288" t="s">
        <v>231</v>
      </c>
      <c r="D81" s="51">
        <v>371.28</v>
      </c>
      <c r="E81" s="289" t="s">
        <v>20</v>
      </c>
      <c r="F81" s="51">
        <v>12.08</v>
      </c>
      <c r="G81" s="17">
        <f t="shared" si="3"/>
        <v>4485.0624</v>
      </c>
      <c r="H81" s="187"/>
    </row>
    <row r="82" spans="1:8" ht="12.75" customHeight="1">
      <c r="A82" s="12" t="s">
        <v>229</v>
      </c>
      <c r="B82" s="26" t="s">
        <v>414</v>
      </c>
      <c r="C82" s="288" t="s">
        <v>415</v>
      </c>
      <c r="D82" s="51">
        <v>146.54</v>
      </c>
      <c r="E82" s="289" t="s">
        <v>20</v>
      </c>
      <c r="F82" s="51">
        <v>20.08</v>
      </c>
      <c r="G82" s="17">
        <f t="shared" si="3"/>
        <v>2942.5231999999996</v>
      </c>
      <c r="H82" s="187"/>
    </row>
    <row r="83" spans="1:8" ht="12.75" customHeight="1" thickBot="1">
      <c r="A83" s="12" t="s">
        <v>460</v>
      </c>
      <c r="B83" s="186" t="s">
        <v>461</v>
      </c>
      <c r="C83" s="28" t="s">
        <v>462</v>
      </c>
      <c r="D83" s="51">
        <v>60.1</v>
      </c>
      <c r="E83" s="185" t="s">
        <v>20</v>
      </c>
      <c r="F83" s="51">
        <v>27.16</v>
      </c>
      <c r="G83" s="17">
        <f t="shared" si="3"/>
        <v>1632.316</v>
      </c>
      <c r="H83" s="187"/>
    </row>
    <row r="84" spans="1:8" ht="15" customHeight="1" thickBot="1" thickTop="1">
      <c r="A84" s="36"/>
      <c r="B84" s="37" t="s">
        <v>200</v>
      </c>
      <c r="C84" s="38"/>
      <c r="D84" s="39"/>
      <c r="E84" s="40"/>
      <c r="F84" s="41"/>
      <c r="G84" s="25">
        <f>SUM(G78:G83)</f>
        <v>62721.8326</v>
      </c>
      <c r="H84" s="136"/>
    </row>
    <row r="85" spans="1:8" ht="15" customHeight="1" thickTop="1">
      <c r="A85" s="83">
        <v>8</v>
      </c>
      <c r="B85" s="84" t="s">
        <v>62</v>
      </c>
      <c r="C85" s="85"/>
      <c r="D85" s="86"/>
      <c r="E85" s="87"/>
      <c r="F85" s="88"/>
      <c r="G85" s="89"/>
      <c r="H85" s="138"/>
    </row>
    <row r="86" spans="1:8" ht="12.75" customHeight="1">
      <c r="A86" s="12" t="s">
        <v>63</v>
      </c>
      <c r="B86" s="26" t="s">
        <v>262</v>
      </c>
      <c r="C86" s="28" t="s">
        <v>374</v>
      </c>
      <c r="D86" s="14">
        <v>1262.02</v>
      </c>
      <c r="E86" s="15" t="s">
        <v>12</v>
      </c>
      <c r="F86" s="16">
        <f>3.23+9.65</f>
        <v>12.88</v>
      </c>
      <c r="G86" s="17">
        <f>D86*F86</f>
        <v>16254.8176</v>
      </c>
      <c r="H86" s="136"/>
    </row>
    <row r="87" spans="1:8" ht="12.75" customHeight="1">
      <c r="A87" s="12" t="s">
        <v>64</v>
      </c>
      <c r="B87" s="26" t="s">
        <v>251</v>
      </c>
      <c r="C87" s="288" t="s">
        <v>263</v>
      </c>
      <c r="D87" s="51">
        <v>150.04</v>
      </c>
      <c r="E87" s="48" t="s">
        <v>12</v>
      </c>
      <c r="F87" s="47">
        <v>16.65</v>
      </c>
      <c r="G87" s="17">
        <f>D87*F87</f>
        <v>2498.1659999999997</v>
      </c>
      <c r="H87" s="136"/>
    </row>
    <row r="88" spans="1:8" ht="12.75" customHeight="1">
      <c r="A88" s="12" t="s">
        <v>67</v>
      </c>
      <c r="B88" s="26" t="s">
        <v>65</v>
      </c>
      <c r="C88" s="28" t="s">
        <v>66</v>
      </c>
      <c r="D88" s="14">
        <v>50.96</v>
      </c>
      <c r="E88" s="15" t="s">
        <v>12</v>
      </c>
      <c r="F88" s="16">
        <v>22.58</v>
      </c>
      <c r="G88" s="17">
        <f>D88*F88</f>
        <v>1150.6768</v>
      </c>
      <c r="H88" s="138"/>
    </row>
    <row r="89" spans="1:8" ht="12.75" customHeight="1" thickBot="1">
      <c r="A89" s="12" t="s">
        <v>250</v>
      </c>
      <c r="B89" s="26" t="s">
        <v>68</v>
      </c>
      <c r="C89" s="28" t="s">
        <v>69</v>
      </c>
      <c r="D89" s="14">
        <v>96.6</v>
      </c>
      <c r="E89" s="15" t="s">
        <v>12</v>
      </c>
      <c r="F89" s="16">
        <v>21.81</v>
      </c>
      <c r="G89" s="17">
        <f>D89*F89</f>
        <v>2106.8459999999995</v>
      </c>
      <c r="H89" s="138"/>
    </row>
    <row r="90" spans="1:8" ht="15" customHeight="1" thickBot="1" thickTop="1">
      <c r="A90" s="36"/>
      <c r="B90" s="37" t="s">
        <v>200</v>
      </c>
      <c r="C90" s="38"/>
      <c r="D90" s="39"/>
      <c r="E90" s="40"/>
      <c r="F90" s="41"/>
      <c r="G90" s="25">
        <f>SUM(G86:G89)</f>
        <v>22010.5064</v>
      </c>
      <c r="H90" s="138"/>
    </row>
    <row r="91" spans="1:8" ht="15" customHeight="1" thickTop="1">
      <c r="A91" s="83">
        <v>9</v>
      </c>
      <c r="B91" s="84" t="s">
        <v>70</v>
      </c>
      <c r="C91" s="85"/>
      <c r="D91" s="86"/>
      <c r="E91" s="87"/>
      <c r="F91" s="88"/>
      <c r="G91" s="89"/>
      <c r="H91" s="138"/>
    </row>
    <row r="92" spans="1:8" ht="12.75" customHeight="1">
      <c r="A92" s="12" t="s">
        <v>71</v>
      </c>
      <c r="B92" s="26" t="s">
        <v>72</v>
      </c>
      <c r="C92" s="28">
        <v>5622</v>
      </c>
      <c r="D92" s="14">
        <v>271.33</v>
      </c>
      <c r="E92" s="15" t="s">
        <v>12</v>
      </c>
      <c r="F92" s="47">
        <v>4.69</v>
      </c>
      <c r="G92" s="17">
        <f>D92*F92</f>
        <v>1272.5377</v>
      </c>
      <c r="H92" s="138"/>
    </row>
    <row r="93" spans="1:8" ht="12.75" customHeight="1">
      <c r="A93" s="12" t="s">
        <v>73</v>
      </c>
      <c r="B93" s="26" t="s">
        <v>217</v>
      </c>
      <c r="C93" s="28" t="s">
        <v>243</v>
      </c>
      <c r="D93" s="14">
        <v>271.33</v>
      </c>
      <c r="E93" s="15" t="s">
        <v>12</v>
      </c>
      <c r="F93" s="47">
        <v>27.43</v>
      </c>
      <c r="G93" s="17">
        <f>D93*F93</f>
        <v>7442.581899999999</v>
      </c>
      <c r="H93" s="139"/>
    </row>
    <row r="94" spans="1:8" ht="12.75" customHeight="1">
      <c r="A94" s="12" t="s">
        <v>74</v>
      </c>
      <c r="B94" s="26" t="s">
        <v>75</v>
      </c>
      <c r="C94" s="290" t="s">
        <v>384</v>
      </c>
      <c r="D94" s="51">
        <v>271.33</v>
      </c>
      <c r="E94" s="48" t="s">
        <v>12</v>
      </c>
      <c r="F94" s="47">
        <v>14.13</v>
      </c>
      <c r="G94" s="17">
        <f>D94*F94</f>
        <v>3833.8929</v>
      </c>
      <c r="H94" s="139"/>
    </row>
    <row r="95" spans="1:8" ht="12.75" customHeight="1">
      <c r="A95" s="12" t="s">
        <v>76</v>
      </c>
      <c r="B95" s="26" t="s">
        <v>380</v>
      </c>
      <c r="C95" s="28">
        <v>87250</v>
      </c>
      <c r="D95" s="14">
        <v>271.33</v>
      </c>
      <c r="E95" s="15" t="s">
        <v>12</v>
      </c>
      <c r="F95" s="16">
        <v>39.01</v>
      </c>
      <c r="G95" s="17">
        <f>D95*F95</f>
        <v>10584.583299999998</v>
      </c>
      <c r="H95" s="188"/>
    </row>
    <row r="96" spans="1:8" ht="12.75" customHeight="1" thickBot="1">
      <c r="A96" s="12" t="s">
        <v>77</v>
      </c>
      <c r="B96" s="29" t="s">
        <v>78</v>
      </c>
      <c r="C96" s="43">
        <v>88649</v>
      </c>
      <c r="D96" s="33">
        <v>159.39</v>
      </c>
      <c r="E96" s="32" t="s">
        <v>20</v>
      </c>
      <c r="F96" s="33">
        <v>9.33</v>
      </c>
      <c r="G96" s="17">
        <f>D96*F96</f>
        <v>1487.1086999999998</v>
      </c>
      <c r="H96" s="138"/>
    </row>
    <row r="97" spans="1:8" ht="15" customHeight="1" thickBot="1" thickTop="1">
      <c r="A97" s="36"/>
      <c r="B97" s="37" t="s">
        <v>200</v>
      </c>
      <c r="C97" s="38"/>
      <c r="D97" s="41"/>
      <c r="E97" s="40"/>
      <c r="F97" s="41"/>
      <c r="G97" s="25">
        <f>SUM(G92:G96)</f>
        <v>24620.7045</v>
      </c>
      <c r="H97" s="138"/>
    </row>
    <row r="98" spans="1:8" ht="15" customHeight="1" thickTop="1">
      <c r="A98" s="78">
        <v>10</v>
      </c>
      <c r="B98" s="79" t="s">
        <v>218</v>
      </c>
      <c r="C98" s="80"/>
      <c r="D98" s="82"/>
      <c r="E98" s="81"/>
      <c r="F98" s="82"/>
      <c r="G98" s="77"/>
      <c r="H98" s="142"/>
    </row>
    <row r="99" spans="1:8" ht="15" customHeight="1">
      <c r="A99" s="67" t="s">
        <v>79</v>
      </c>
      <c r="B99" s="68" t="s">
        <v>80</v>
      </c>
      <c r="C99" s="90"/>
      <c r="D99" s="71"/>
      <c r="E99" s="70"/>
      <c r="F99" s="71"/>
      <c r="G99" s="72"/>
      <c r="H99" s="142"/>
    </row>
    <row r="100" spans="1:8" ht="12.75" customHeight="1">
      <c r="A100" s="44" t="s">
        <v>81</v>
      </c>
      <c r="B100" s="45" t="s">
        <v>82</v>
      </c>
      <c r="C100" s="46" t="s">
        <v>83</v>
      </c>
      <c r="D100" s="343">
        <v>1</v>
      </c>
      <c r="E100" s="48" t="s">
        <v>84</v>
      </c>
      <c r="F100" s="47">
        <v>560.78</v>
      </c>
      <c r="G100" s="17">
        <f aca="true" t="shared" si="4" ref="G100:G112">D100*F100</f>
        <v>560.78</v>
      </c>
      <c r="H100" s="304" t="s">
        <v>264</v>
      </c>
    </row>
    <row r="101" spans="1:8" ht="12.75" customHeight="1">
      <c r="A101" s="44" t="s">
        <v>85</v>
      </c>
      <c r="B101" s="45" t="s">
        <v>86</v>
      </c>
      <c r="C101" s="27">
        <v>55866</v>
      </c>
      <c r="D101" s="343">
        <v>6</v>
      </c>
      <c r="E101" s="48" t="s">
        <v>20</v>
      </c>
      <c r="F101" s="47">
        <v>23.91</v>
      </c>
      <c r="G101" s="17">
        <f t="shared" si="4"/>
        <v>143.46</v>
      </c>
      <c r="H101" s="304" t="s">
        <v>337</v>
      </c>
    </row>
    <row r="102" spans="1:8" ht="12.75" customHeight="1">
      <c r="A102" s="44" t="s">
        <v>87</v>
      </c>
      <c r="B102" s="45" t="s">
        <v>88</v>
      </c>
      <c r="C102" s="27">
        <v>55865</v>
      </c>
      <c r="D102" s="343">
        <v>3</v>
      </c>
      <c r="E102" s="48" t="s">
        <v>20</v>
      </c>
      <c r="F102" s="47">
        <v>21.85</v>
      </c>
      <c r="G102" s="17">
        <f t="shared" si="4"/>
        <v>65.55000000000001</v>
      </c>
      <c r="H102" s="304" t="s">
        <v>410</v>
      </c>
    </row>
    <row r="103" spans="1:8" ht="12.75" customHeight="1">
      <c r="A103" s="44" t="s">
        <v>89</v>
      </c>
      <c r="B103" s="45" t="s">
        <v>90</v>
      </c>
      <c r="C103" s="291" t="s">
        <v>244</v>
      </c>
      <c r="D103" s="343">
        <v>1</v>
      </c>
      <c r="E103" s="48" t="s">
        <v>84</v>
      </c>
      <c r="F103" s="47">
        <v>872.34</v>
      </c>
      <c r="G103" s="17">
        <f t="shared" si="4"/>
        <v>872.34</v>
      </c>
      <c r="H103" s="305"/>
    </row>
    <row r="104" spans="1:8" ht="12.75" customHeight="1">
      <c r="A104" s="44" t="s">
        <v>91</v>
      </c>
      <c r="B104" s="45" t="s">
        <v>92</v>
      </c>
      <c r="C104" s="291" t="s">
        <v>93</v>
      </c>
      <c r="D104" s="343">
        <v>1</v>
      </c>
      <c r="E104" s="48" t="s">
        <v>84</v>
      </c>
      <c r="F104" s="47">
        <v>362.99</v>
      </c>
      <c r="G104" s="49">
        <f t="shared" si="4"/>
        <v>362.99</v>
      </c>
      <c r="H104" s="305"/>
    </row>
    <row r="105" spans="1:8" ht="12.75" customHeight="1">
      <c r="A105" s="44" t="s">
        <v>94</v>
      </c>
      <c r="B105" s="45" t="s">
        <v>95</v>
      </c>
      <c r="C105" s="27">
        <v>72255</v>
      </c>
      <c r="D105" s="343">
        <v>44</v>
      </c>
      <c r="E105" s="48" t="s">
        <v>20</v>
      </c>
      <c r="F105" s="47">
        <v>35.59</v>
      </c>
      <c r="G105" s="17">
        <f t="shared" si="4"/>
        <v>1565.96</v>
      </c>
      <c r="H105" s="305"/>
    </row>
    <row r="106" spans="1:8" ht="12.75" customHeight="1">
      <c r="A106" s="44" t="s">
        <v>96</v>
      </c>
      <c r="B106" s="45" t="s">
        <v>97</v>
      </c>
      <c r="C106" s="27">
        <v>72253</v>
      </c>
      <c r="D106" s="343">
        <v>3</v>
      </c>
      <c r="E106" s="48" t="s">
        <v>20</v>
      </c>
      <c r="F106" s="47">
        <v>19.33</v>
      </c>
      <c r="G106" s="17">
        <f t="shared" si="4"/>
        <v>57.989999999999995</v>
      </c>
      <c r="H106" s="305"/>
    </row>
    <row r="107" spans="1:8" ht="12.75" customHeight="1">
      <c r="A107" s="44" t="s">
        <v>98</v>
      </c>
      <c r="B107" s="45" t="s">
        <v>375</v>
      </c>
      <c r="C107" s="27">
        <v>72326</v>
      </c>
      <c r="D107" s="343">
        <v>2</v>
      </c>
      <c r="E107" s="48" t="s">
        <v>84</v>
      </c>
      <c r="F107" s="47">
        <v>402.04</v>
      </c>
      <c r="G107" s="17">
        <f t="shared" si="4"/>
        <v>804.08</v>
      </c>
      <c r="H107" s="305"/>
    </row>
    <row r="108" spans="1:8" ht="12.75" customHeight="1">
      <c r="A108" s="44" t="s">
        <v>99</v>
      </c>
      <c r="B108" s="45" t="s">
        <v>100</v>
      </c>
      <c r="C108" s="27">
        <v>72330</v>
      </c>
      <c r="D108" s="343">
        <v>3</v>
      </c>
      <c r="E108" s="48" t="s">
        <v>41</v>
      </c>
      <c r="F108" s="47">
        <v>26.03</v>
      </c>
      <c r="G108" s="17">
        <f t="shared" si="4"/>
        <v>78.09</v>
      </c>
      <c r="H108" s="305"/>
    </row>
    <row r="109" spans="1:8" ht="12.75" customHeight="1">
      <c r="A109" s="44" t="s">
        <v>101</v>
      </c>
      <c r="B109" s="45" t="s">
        <v>102</v>
      </c>
      <c r="C109" s="27">
        <v>68069</v>
      </c>
      <c r="D109" s="343">
        <v>1</v>
      </c>
      <c r="E109" s="48" t="s">
        <v>41</v>
      </c>
      <c r="F109" s="47">
        <v>41.37</v>
      </c>
      <c r="G109" s="17">
        <f t="shared" si="4"/>
        <v>41.37</v>
      </c>
      <c r="H109" s="305"/>
    </row>
    <row r="110" spans="1:8" ht="12.75" customHeight="1">
      <c r="A110" s="44" t="s">
        <v>103</v>
      </c>
      <c r="B110" s="45" t="s">
        <v>104</v>
      </c>
      <c r="C110" s="291" t="s">
        <v>105</v>
      </c>
      <c r="D110" s="343">
        <v>1</v>
      </c>
      <c r="E110" s="48" t="s">
        <v>84</v>
      </c>
      <c r="F110" s="47">
        <v>17.59</v>
      </c>
      <c r="G110" s="49">
        <f t="shared" si="4"/>
        <v>17.59</v>
      </c>
      <c r="H110" s="305"/>
    </row>
    <row r="111" spans="1:8" ht="12.75" customHeight="1">
      <c r="A111" s="44" t="s">
        <v>106</v>
      </c>
      <c r="B111" s="45" t="s">
        <v>107</v>
      </c>
      <c r="C111" s="27">
        <v>72264</v>
      </c>
      <c r="D111" s="343">
        <v>18</v>
      </c>
      <c r="E111" s="48" t="s">
        <v>41</v>
      </c>
      <c r="F111" s="47">
        <v>18.02</v>
      </c>
      <c r="G111" s="17">
        <f t="shared" si="4"/>
        <v>324.36</v>
      </c>
      <c r="H111" s="305"/>
    </row>
    <row r="112" spans="1:8" ht="12.75" customHeight="1">
      <c r="A112" s="44" t="s">
        <v>108</v>
      </c>
      <c r="B112" s="45" t="s">
        <v>109</v>
      </c>
      <c r="C112" s="27">
        <v>72262</v>
      </c>
      <c r="D112" s="343">
        <v>1</v>
      </c>
      <c r="E112" s="48" t="s">
        <v>41</v>
      </c>
      <c r="F112" s="47">
        <v>13.61</v>
      </c>
      <c r="G112" s="17">
        <f t="shared" si="4"/>
        <v>13.61</v>
      </c>
      <c r="H112" s="305"/>
    </row>
    <row r="113" spans="1:8" ht="15" customHeight="1">
      <c r="A113" s="67" t="s">
        <v>110</v>
      </c>
      <c r="B113" s="68" t="s">
        <v>111</v>
      </c>
      <c r="C113" s="90"/>
      <c r="D113" s="71"/>
      <c r="E113" s="70"/>
      <c r="F113" s="71"/>
      <c r="G113" s="72"/>
      <c r="H113" s="143"/>
    </row>
    <row r="114" spans="1:8" ht="12.75" customHeight="1">
      <c r="A114" s="50" t="s">
        <v>112</v>
      </c>
      <c r="B114" s="45" t="s">
        <v>113</v>
      </c>
      <c r="C114" s="46" t="s">
        <v>114</v>
      </c>
      <c r="D114" s="343">
        <v>330</v>
      </c>
      <c r="E114" s="48" t="s">
        <v>20</v>
      </c>
      <c r="F114" s="47">
        <v>2.2</v>
      </c>
      <c r="G114" s="17">
        <f aca="true" t="shared" si="5" ref="G114:G140">D114*F114</f>
        <v>726.0000000000001</v>
      </c>
      <c r="H114" s="304"/>
    </row>
    <row r="115" spans="1:8" ht="12.75" customHeight="1">
      <c r="A115" s="50" t="s">
        <v>115</v>
      </c>
      <c r="B115" s="45" t="s">
        <v>116</v>
      </c>
      <c r="C115" s="46" t="s">
        <v>114</v>
      </c>
      <c r="D115" s="343">
        <v>330</v>
      </c>
      <c r="E115" s="48" t="s">
        <v>20</v>
      </c>
      <c r="F115" s="47">
        <v>2.2</v>
      </c>
      <c r="G115" s="17">
        <f t="shared" si="5"/>
        <v>726.0000000000001</v>
      </c>
      <c r="H115" s="304" t="s">
        <v>459</v>
      </c>
    </row>
    <row r="116" spans="1:8" ht="12.75" customHeight="1">
      <c r="A116" s="50" t="s">
        <v>117</v>
      </c>
      <c r="B116" s="45" t="s">
        <v>118</v>
      </c>
      <c r="C116" s="46" t="s">
        <v>114</v>
      </c>
      <c r="D116" s="343">
        <v>330</v>
      </c>
      <c r="E116" s="48" t="s">
        <v>20</v>
      </c>
      <c r="F116" s="47">
        <v>2.2</v>
      </c>
      <c r="G116" s="17">
        <f t="shared" si="5"/>
        <v>726.0000000000001</v>
      </c>
      <c r="H116" s="304" t="s">
        <v>458</v>
      </c>
    </row>
    <row r="117" spans="1:8" ht="12.75" customHeight="1">
      <c r="A117" s="50" t="s">
        <v>119</v>
      </c>
      <c r="B117" s="45" t="s">
        <v>120</v>
      </c>
      <c r="C117" s="46" t="s">
        <v>121</v>
      </c>
      <c r="D117" s="343">
        <v>330</v>
      </c>
      <c r="E117" s="48" t="s">
        <v>20</v>
      </c>
      <c r="F117" s="47">
        <v>2.87</v>
      </c>
      <c r="G117" s="17">
        <f t="shared" si="5"/>
        <v>947.1</v>
      </c>
      <c r="H117" s="304"/>
    </row>
    <row r="118" spans="1:8" ht="12.75" customHeight="1">
      <c r="A118" s="50" t="s">
        <v>122</v>
      </c>
      <c r="B118" s="45" t="s">
        <v>123</v>
      </c>
      <c r="C118" s="46" t="s">
        <v>121</v>
      </c>
      <c r="D118" s="343">
        <v>330</v>
      </c>
      <c r="E118" s="48" t="s">
        <v>20</v>
      </c>
      <c r="F118" s="47">
        <v>2.87</v>
      </c>
      <c r="G118" s="17">
        <f t="shared" si="5"/>
        <v>947.1</v>
      </c>
      <c r="H118" s="304"/>
    </row>
    <row r="119" spans="1:8" ht="12.75" customHeight="1">
      <c r="A119" s="50" t="s">
        <v>124</v>
      </c>
      <c r="B119" s="45" t="s">
        <v>125</v>
      </c>
      <c r="C119" s="46" t="s">
        <v>121</v>
      </c>
      <c r="D119" s="343">
        <v>330</v>
      </c>
      <c r="E119" s="48" t="s">
        <v>20</v>
      </c>
      <c r="F119" s="47">
        <v>2.87</v>
      </c>
      <c r="G119" s="17">
        <f t="shared" si="5"/>
        <v>947.1</v>
      </c>
      <c r="H119" s="304"/>
    </row>
    <row r="120" spans="1:8" ht="12.75" customHeight="1">
      <c r="A120" s="50" t="s">
        <v>126</v>
      </c>
      <c r="B120" s="45" t="s">
        <v>127</v>
      </c>
      <c r="C120" s="46" t="s">
        <v>128</v>
      </c>
      <c r="D120" s="343">
        <v>100</v>
      </c>
      <c r="E120" s="48" t="s">
        <v>20</v>
      </c>
      <c r="F120" s="47">
        <v>9.15</v>
      </c>
      <c r="G120" s="17">
        <f t="shared" si="5"/>
        <v>915</v>
      </c>
      <c r="H120" s="304"/>
    </row>
    <row r="121" spans="1:8" ht="12.75" customHeight="1">
      <c r="A121" s="50" t="s">
        <v>129</v>
      </c>
      <c r="B121" s="45" t="s">
        <v>130</v>
      </c>
      <c r="C121" s="46" t="s">
        <v>128</v>
      </c>
      <c r="D121" s="343">
        <v>50</v>
      </c>
      <c r="E121" s="48" t="s">
        <v>20</v>
      </c>
      <c r="F121" s="47">
        <v>9.15</v>
      </c>
      <c r="G121" s="17">
        <f t="shared" si="5"/>
        <v>457.5</v>
      </c>
      <c r="H121" s="304"/>
    </row>
    <row r="122" spans="1:8" ht="12.75" customHeight="1">
      <c r="A122" s="50" t="s">
        <v>131</v>
      </c>
      <c r="B122" s="45" t="s">
        <v>132</v>
      </c>
      <c r="C122" s="46" t="s">
        <v>128</v>
      </c>
      <c r="D122" s="343">
        <v>50</v>
      </c>
      <c r="E122" s="48" t="s">
        <v>20</v>
      </c>
      <c r="F122" s="47">
        <v>9.15</v>
      </c>
      <c r="G122" s="17">
        <f t="shared" si="5"/>
        <v>457.5</v>
      </c>
      <c r="H122" s="304"/>
    </row>
    <row r="123" spans="1:8" ht="12.75" customHeight="1">
      <c r="A123" s="50" t="s">
        <v>133</v>
      </c>
      <c r="B123" s="45" t="s">
        <v>134</v>
      </c>
      <c r="C123" s="27">
        <v>72251</v>
      </c>
      <c r="D123" s="343">
        <v>50</v>
      </c>
      <c r="E123" s="48" t="s">
        <v>20</v>
      </c>
      <c r="F123" s="47">
        <v>10.09</v>
      </c>
      <c r="G123" s="17">
        <f t="shared" si="5"/>
        <v>504.5</v>
      </c>
      <c r="H123" s="304"/>
    </row>
    <row r="124" spans="1:8" ht="12.75" customHeight="1">
      <c r="A124" s="50" t="s">
        <v>135</v>
      </c>
      <c r="B124" s="45" t="s">
        <v>136</v>
      </c>
      <c r="C124" s="27" t="s">
        <v>234</v>
      </c>
      <c r="D124" s="343">
        <v>120</v>
      </c>
      <c r="E124" s="48" t="s">
        <v>20</v>
      </c>
      <c r="F124" s="47">
        <v>13.04</v>
      </c>
      <c r="G124" s="17">
        <f t="shared" si="5"/>
        <v>1564.8</v>
      </c>
      <c r="H124" s="304"/>
    </row>
    <row r="125" spans="1:8" ht="12.75" customHeight="1">
      <c r="A125" s="50" t="s">
        <v>137</v>
      </c>
      <c r="B125" s="45" t="s">
        <v>138</v>
      </c>
      <c r="C125" s="27">
        <v>73689</v>
      </c>
      <c r="D125" s="343">
        <v>50</v>
      </c>
      <c r="E125" s="48" t="s">
        <v>20</v>
      </c>
      <c r="F125" s="47">
        <v>12.36</v>
      </c>
      <c r="G125" s="17">
        <f t="shared" si="5"/>
        <v>618</v>
      </c>
      <c r="H125" s="304"/>
    </row>
    <row r="126" spans="1:8" ht="12.75" customHeight="1">
      <c r="A126" s="50" t="s">
        <v>139</v>
      </c>
      <c r="B126" s="45" t="s">
        <v>140</v>
      </c>
      <c r="C126" s="27">
        <v>83566</v>
      </c>
      <c r="D126" s="343">
        <v>58</v>
      </c>
      <c r="E126" s="48" t="s">
        <v>41</v>
      </c>
      <c r="F126" s="47">
        <v>24.41</v>
      </c>
      <c r="G126" s="49">
        <f t="shared" si="5"/>
        <v>1415.78</v>
      </c>
      <c r="H126" s="304"/>
    </row>
    <row r="127" spans="1:8" ht="12.75" customHeight="1">
      <c r="A127" s="50" t="s">
        <v>141</v>
      </c>
      <c r="B127" s="45" t="s">
        <v>142</v>
      </c>
      <c r="C127" s="27">
        <v>83566</v>
      </c>
      <c r="D127" s="343">
        <f>2*1.5</f>
        <v>3</v>
      </c>
      <c r="E127" s="48" t="s">
        <v>41</v>
      </c>
      <c r="F127" s="47">
        <v>24.41</v>
      </c>
      <c r="G127" s="49">
        <f t="shared" si="5"/>
        <v>73.23</v>
      </c>
      <c r="H127" s="304"/>
    </row>
    <row r="128" spans="1:8" ht="12.75" customHeight="1">
      <c r="A128" s="50" t="s">
        <v>143</v>
      </c>
      <c r="B128" s="45" t="s">
        <v>144</v>
      </c>
      <c r="C128" s="27">
        <v>72339</v>
      </c>
      <c r="D128" s="343">
        <v>12</v>
      </c>
      <c r="E128" s="48" t="s">
        <v>41</v>
      </c>
      <c r="F128" s="47">
        <v>37.57</v>
      </c>
      <c r="G128" s="49">
        <f t="shared" si="5"/>
        <v>450.84000000000003</v>
      </c>
      <c r="H128" s="304"/>
    </row>
    <row r="129" spans="1:8" ht="12.75" customHeight="1">
      <c r="A129" s="50" t="s">
        <v>145</v>
      </c>
      <c r="B129" s="45" t="s">
        <v>146</v>
      </c>
      <c r="C129" s="291" t="s">
        <v>235</v>
      </c>
      <c r="D129" s="343">
        <v>12</v>
      </c>
      <c r="E129" s="48" t="s">
        <v>41</v>
      </c>
      <c r="F129" s="47">
        <v>14.37</v>
      </c>
      <c r="G129" s="49">
        <f t="shared" si="5"/>
        <v>172.44</v>
      </c>
      <c r="H129" s="304"/>
    </row>
    <row r="130" spans="1:8" ht="12.75" customHeight="1">
      <c r="A130" s="50" t="s">
        <v>147</v>
      </c>
      <c r="B130" s="45" t="s">
        <v>148</v>
      </c>
      <c r="C130" s="27">
        <v>72337</v>
      </c>
      <c r="D130" s="343">
        <v>12</v>
      </c>
      <c r="E130" s="48" t="s">
        <v>41</v>
      </c>
      <c r="F130" s="47">
        <v>20.29</v>
      </c>
      <c r="G130" s="17">
        <f t="shared" si="5"/>
        <v>243.48</v>
      </c>
      <c r="H130" s="304"/>
    </row>
    <row r="131" spans="1:8" ht="12.75" customHeight="1">
      <c r="A131" s="50" t="s">
        <v>149</v>
      </c>
      <c r="B131" s="45" t="s">
        <v>150</v>
      </c>
      <c r="C131" s="46" t="s">
        <v>151</v>
      </c>
      <c r="D131" s="309">
        <v>42</v>
      </c>
      <c r="E131" s="48" t="s">
        <v>41</v>
      </c>
      <c r="F131" s="47">
        <v>90.13</v>
      </c>
      <c r="G131" s="17">
        <f t="shared" si="5"/>
        <v>3785.46</v>
      </c>
      <c r="H131" s="211" t="s">
        <v>336</v>
      </c>
    </row>
    <row r="132" spans="1:8" ht="12.75" customHeight="1">
      <c r="A132" s="50" t="s">
        <v>152</v>
      </c>
      <c r="B132" s="45" t="s">
        <v>357</v>
      </c>
      <c r="C132" s="46" t="s">
        <v>358</v>
      </c>
      <c r="D132" s="309">
        <v>12</v>
      </c>
      <c r="E132" s="48" t="s">
        <v>41</v>
      </c>
      <c r="F132" s="47">
        <v>47.84</v>
      </c>
      <c r="G132" s="49">
        <f t="shared" si="5"/>
        <v>574.08</v>
      </c>
      <c r="H132" s="211" t="s">
        <v>338</v>
      </c>
    </row>
    <row r="133" spans="1:8" ht="12.75" customHeight="1">
      <c r="A133" s="50" t="s">
        <v>153</v>
      </c>
      <c r="B133" s="45" t="s">
        <v>359</v>
      </c>
      <c r="C133" s="46" t="s">
        <v>154</v>
      </c>
      <c r="D133" s="309">
        <v>9</v>
      </c>
      <c r="E133" s="48" t="s">
        <v>41</v>
      </c>
      <c r="F133" s="47">
        <v>26.46</v>
      </c>
      <c r="G133" s="49">
        <f t="shared" si="5"/>
        <v>238.14000000000001</v>
      </c>
      <c r="H133" s="211" t="s">
        <v>338</v>
      </c>
    </row>
    <row r="134" spans="1:8" ht="12.75" customHeight="1">
      <c r="A134" s="50" t="s">
        <v>155</v>
      </c>
      <c r="B134" s="45" t="s">
        <v>156</v>
      </c>
      <c r="C134" s="27">
        <v>72331</v>
      </c>
      <c r="D134" s="343">
        <v>28</v>
      </c>
      <c r="E134" s="48" t="s">
        <v>41</v>
      </c>
      <c r="F134" s="47">
        <v>11.64</v>
      </c>
      <c r="G134" s="17">
        <f t="shared" si="5"/>
        <v>325.92</v>
      </c>
      <c r="H134" s="304" t="s">
        <v>264</v>
      </c>
    </row>
    <row r="135" spans="1:8" ht="12.75" customHeight="1">
      <c r="A135" s="50" t="s">
        <v>157</v>
      </c>
      <c r="B135" s="45" t="s">
        <v>160</v>
      </c>
      <c r="C135" s="27">
        <v>83467</v>
      </c>
      <c r="D135" s="343">
        <v>3</v>
      </c>
      <c r="E135" s="48" t="s">
        <v>41</v>
      </c>
      <c r="F135" s="47">
        <v>34.34</v>
      </c>
      <c r="G135" s="49">
        <f t="shared" si="5"/>
        <v>103.02000000000001</v>
      </c>
      <c r="H135" s="304" t="s">
        <v>337</v>
      </c>
    </row>
    <row r="136" spans="1:8" ht="12.75" customHeight="1">
      <c r="A136" s="50" t="s">
        <v>158</v>
      </c>
      <c r="B136" s="45" t="s">
        <v>162</v>
      </c>
      <c r="C136" s="46" t="s">
        <v>245</v>
      </c>
      <c r="D136" s="343">
        <v>1</v>
      </c>
      <c r="E136" s="48" t="s">
        <v>41</v>
      </c>
      <c r="F136" s="47">
        <v>187.22</v>
      </c>
      <c r="G136" s="49">
        <f t="shared" si="5"/>
        <v>187.22</v>
      </c>
      <c r="H136" s="304" t="s">
        <v>410</v>
      </c>
    </row>
    <row r="137" spans="1:8" ht="12.75" customHeight="1">
      <c r="A137" s="50" t="s">
        <v>159</v>
      </c>
      <c r="B137" s="45" t="s">
        <v>360</v>
      </c>
      <c r="C137" s="46" t="s">
        <v>164</v>
      </c>
      <c r="D137" s="343">
        <v>1</v>
      </c>
      <c r="E137" s="48" t="s">
        <v>41</v>
      </c>
      <c r="F137" s="47">
        <v>465.21</v>
      </c>
      <c r="G137" s="17">
        <f t="shared" si="5"/>
        <v>465.21</v>
      </c>
      <c r="H137" s="304"/>
    </row>
    <row r="138" spans="1:8" ht="12.75" customHeight="1">
      <c r="A138" s="50" t="s">
        <v>161</v>
      </c>
      <c r="B138" s="45" t="s">
        <v>166</v>
      </c>
      <c r="C138" s="46" t="s">
        <v>167</v>
      </c>
      <c r="D138" s="343">
        <v>10</v>
      </c>
      <c r="E138" s="48" t="s">
        <v>41</v>
      </c>
      <c r="F138" s="47">
        <v>10.14</v>
      </c>
      <c r="G138" s="17">
        <f t="shared" si="5"/>
        <v>101.4</v>
      </c>
      <c r="H138" s="304"/>
    </row>
    <row r="139" spans="1:8" ht="12.75" customHeight="1">
      <c r="A139" s="50" t="s">
        <v>163</v>
      </c>
      <c r="B139" s="45" t="s">
        <v>168</v>
      </c>
      <c r="C139" s="46" t="s">
        <v>169</v>
      </c>
      <c r="D139" s="343">
        <v>14</v>
      </c>
      <c r="E139" s="48" t="s">
        <v>41</v>
      </c>
      <c r="F139" s="47">
        <v>45</v>
      </c>
      <c r="G139" s="17">
        <f t="shared" si="5"/>
        <v>630</v>
      </c>
      <c r="H139" s="304"/>
    </row>
    <row r="140" spans="1:8" ht="12.75" customHeight="1" thickBot="1">
      <c r="A140" s="50" t="s">
        <v>165</v>
      </c>
      <c r="B140" s="45" t="s">
        <v>170</v>
      </c>
      <c r="C140" s="46" t="s">
        <v>171</v>
      </c>
      <c r="D140" s="343">
        <v>4</v>
      </c>
      <c r="E140" s="48" t="s">
        <v>41</v>
      </c>
      <c r="F140" s="47">
        <v>87.27</v>
      </c>
      <c r="G140" s="17">
        <f t="shared" si="5"/>
        <v>349.08</v>
      </c>
      <c r="H140" s="304"/>
    </row>
    <row r="141" spans="1:8" ht="15" customHeight="1" thickBot="1" thickTop="1">
      <c r="A141" s="36"/>
      <c r="B141" s="37" t="s">
        <v>200</v>
      </c>
      <c r="C141" s="38"/>
      <c r="D141" s="41"/>
      <c r="E141" s="40"/>
      <c r="F141" s="41"/>
      <c r="G141" s="25">
        <f>SUM(G100:G140)</f>
        <v>23560.07</v>
      </c>
      <c r="H141" s="145"/>
    </row>
    <row r="142" spans="1:8" ht="15" customHeight="1" thickTop="1">
      <c r="A142" s="200">
        <v>11</v>
      </c>
      <c r="B142" s="201" t="s">
        <v>219</v>
      </c>
      <c r="C142" s="202"/>
      <c r="D142" s="203"/>
      <c r="E142" s="204"/>
      <c r="F142" s="203"/>
      <c r="G142" s="205"/>
      <c r="H142" s="146"/>
    </row>
    <row r="143" spans="1:8" ht="15" customHeight="1">
      <c r="A143" s="67" t="s">
        <v>172</v>
      </c>
      <c r="B143" s="91" t="s">
        <v>220</v>
      </c>
      <c r="C143" s="90"/>
      <c r="D143" s="71"/>
      <c r="E143" s="70"/>
      <c r="F143" s="71"/>
      <c r="G143" s="72"/>
      <c r="H143" s="199"/>
    </row>
    <row r="144" spans="1:8" ht="12.75" customHeight="1">
      <c r="A144" s="351" t="s">
        <v>283</v>
      </c>
      <c r="B144" s="293" t="s">
        <v>444</v>
      </c>
      <c r="C144" s="367" t="s">
        <v>353</v>
      </c>
      <c r="D144" s="369">
        <v>1</v>
      </c>
      <c r="E144" s="371" t="s">
        <v>84</v>
      </c>
      <c r="F144" s="374">
        <v>5992.22</v>
      </c>
      <c r="G144" s="372">
        <f>D144*F144</f>
        <v>5992.22</v>
      </c>
      <c r="H144" s="211" t="s">
        <v>336</v>
      </c>
    </row>
    <row r="145" spans="1:8" ht="12.75" customHeight="1">
      <c r="A145" s="352"/>
      <c r="B145" s="294" t="s">
        <v>443</v>
      </c>
      <c r="C145" s="368"/>
      <c r="D145" s="370"/>
      <c r="E145" s="368"/>
      <c r="F145" s="375"/>
      <c r="G145" s="373"/>
      <c r="H145" s="211"/>
    </row>
    <row r="146" spans="1:8" ht="12.75" customHeight="1">
      <c r="A146" s="295" t="s">
        <v>284</v>
      </c>
      <c r="B146" s="296" t="s">
        <v>386</v>
      </c>
      <c r="C146" s="297" t="s">
        <v>385</v>
      </c>
      <c r="D146" s="298">
        <v>2</v>
      </c>
      <c r="E146" s="299" t="s">
        <v>84</v>
      </c>
      <c r="F146" s="292">
        <v>646.68</v>
      </c>
      <c r="G146" s="300">
        <f>D146*F146</f>
        <v>1293.36</v>
      </c>
      <c r="H146" s="212" t="s">
        <v>338</v>
      </c>
    </row>
    <row r="147" spans="1:8" ht="12.75" customHeight="1">
      <c r="A147" s="42" t="s">
        <v>285</v>
      </c>
      <c r="B147" s="45" t="s">
        <v>173</v>
      </c>
      <c r="C147" s="27">
        <v>89450</v>
      </c>
      <c r="D147" s="51">
        <v>40</v>
      </c>
      <c r="E147" s="48" t="s">
        <v>20</v>
      </c>
      <c r="F147" s="47">
        <v>17.66</v>
      </c>
      <c r="G147" s="49">
        <f>D147*F147</f>
        <v>706.4</v>
      </c>
      <c r="H147" s="304"/>
    </row>
    <row r="148" spans="1:8" ht="12.75" customHeight="1">
      <c r="A148" s="42" t="s">
        <v>286</v>
      </c>
      <c r="B148" s="45" t="s">
        <v>175</v>
      </c>
      <c r="C148" s="27">
        <v>89402</v>
      </c>
      <c r="D148" s="51">
        <v>115</v>
      </c>
      <c r="E148" s="48" t="s">
        <v>20</v>
      </c>
      <c r="F148" s="47">
        <v>6.5</v>
      </c>
      <c r="G148" s="49">
        <f aca="true" t="shared" si="6" ref="G148:G158">D148*F148</f>
        <v>747.5</v>
      </c>
      <c r="H148" s="304"/>
    </row>
    <row r="149" spans="1:8" ht="12.75" customHeight="1">
      <c r="A149" s="42" t="s">
        <v>287</v>
      </c>
      <c r="B149" s="45" t="s">
        <v>177</v>
      </c>
      <c r="C149" s="27" t="s">
        <v>178</v>
      </c>
      <c r="D149" s="344">
        <v>2</v>
      </c>
      <c r="E149" s="48" t="s">
        <v>41</v>
      </c>
      <c r="F149" s="47">
        <v>56.59</v>
      </c>
      <c r="G149" s="49">
        <f t="shared" si="6"/>
        <v>113.18</v>
      </c>
      <c r="H149" s="304"/>
    </row>
    <row r="150" spans="1:8" ht="12.75" customHeight="1">
      <c r="A150" s="42" t="s">
        <v>288</v>
      </c>
      <c r="B150" s="45" t="s">
        <v>236</v>
      </c>
      <c r="C150" s="27">
        <v>89987</v>
      </c>
      <c r="D150" s="344">
        <v>22</v>
      </c>
      <c r="E150" s="48" t="s">
        <v>41</v>
      </c>
      <c r="F150" s="47">
        <v>69.56</v>
      </c>
      <c r="G150" s="49">
        <f t="shared" si="6"/>
        <v>1530.3200000000002</v>
      </c>
      <c r="H150" s="304"/>
    </row>
    <row r="151" spans="1:8" ht="12.75" customHeight="1">
      <c r="A151" s="42" t="s">
        <v>289</v>
      </c>
      <c r="B151" s="45" t="s">
        <v>237</v>
      </c>
      <c r="C151" s="27" t="s">
        <v>179</v>
      </c>
      <c r="D151" s="344">
        <v>2</v>
      </c>
      <c r="E151" s="48" t="s">
        <v>41</v>
      </c>
      <c r="F151" s="47">
        <v>122.48</v>
      </c>
      <c r="G151" s="49">
        <f t="shared" si="6"/>
        <v>244.96</v>
      </c>
      <c r="H151" s="304"/>
    </row>
    <row r="152" spans="1:8" ht="12.75" customHeight="1">
      <c r="A152" s="42" t="s">
        <v>290</v>
      </c>
      <c r="B152" s="45" t="s">
        <v>183</v>
      </c>
      <c r="C152" s="27" t="s">
        <v>238</v>
      </c>
      <c r="D152" s="344">
        <v>2</v>
      </c>
      <c r="E152" s="48" t="s">
        <v>41</v>
      </c>
      <c r="F152" s="47">
        <v>183.11</v>
      </c>
      <c r="G152" s="49">
        <f t="shared" si="6"/>
        <v>366.22</v>
      </c>
      <c r="H152" s="304"/>
    </row>
    <row r="153" spans="1:8" ht="12.75" customHeight="1">
      <c r="A153" s="42" t="s">
        <v>291</v>
      </c>
      <c r="B153" s="45" t="s">
        <v>184</v>
      </c>
      <c r="C153" s="27" t="s">
        <v>185</v>
      </c>
      <c r="D153" s="344">
        <v>16</v>
      </c>
      <c r="E153" s="48" t="s">
        <v>41</v>
      </c>
      <c r="F153" s="47">
        <v>128.41</v>
      </c>
      <c r="G153" s="49">
        <f t="shared" si="6"/>
        <v>2054.56</v>
      </c>
      <c r="H153" s="304"/>
    </row>
    <row r="154" spans="1:8" ht="12.75" customHeight="1">
      <c r="A154" s="42" t="s">
        <v>292</v>
      </c>
      <c r="B154" s="45" t="s">
        <v>186</v>
      </c>
      <c r="C154" s="27">
        <v>89714</v>
      </c>
      <c r="D154" s="344">
        <v>85</v>
      </c>
      <c r="E154" s="48" t="s">
        <v>20</v>
      </c>
      <c r="F154" s="47">
        <v>37.43</v>
      </c>
      <c r="G154" s="49">
        <f t="shared" si="6"/>
        <v>3181.55</v>
      </c>
      <c r="H154" s="304"/>
    </row>
    <row r="155" spans="1:8" ht="12.75" customHeight="1">
      <c r="A155" s="42" t="s">
        <v>293</v>
      </c>
      <c r="B155" s="45" t="s">
        <v>187</v>
      </c>
      <c r="C155" s="27">
        <v>89713</v>
      </c>
      <c r="D155" s="51">
        <v>55</v>
      </c>
      <c r="E155" s="48" t="s">
        <v>20</v>
      </c>
      <c r="F155" s="47">
        <v>29.21</v>
      </c>
      <c r="G155" s="49">
        <f t="shared" si="6"/>
        <v>1606.55</v>
      </c>
      <c r="H155" s="304"/>
    </row>
    <row r="156" spans="1:8" ht="12.75" customHeight="1">
      <c r="A156" s="42" t="s">
        <v>294</v>
      </c>
      <c r="B156" s="45" t="s">
        <v>188</v>
      </c>
      <c r="C156" s="27">
        <v>89712</v>
      </c>
      <c r="D156" s="51">
        <v>56</v>
      </c>
      <c r="E156" s="48" t="s">
        <v>20</v>
      </c>
      <c r="F156" s="47">
        <v>19.79</v>
      </c>
      <c r="G156" s="49">
        <f t="shared" si="6"/>
        <v>1108.24</v>
      </c>
      <c r="H156" s="304"/>
    </row>
    <row r="157" spans="1:8" ht="12.75" customHeight="1">
      <c r="A157" s="42" t="s">
        <v>295</v>
      </c>
      <c r="B157" s="45" t="s">
        <v>189</v>
      </c>
      <c r="C157" s="27">
        <v>89711</v>
      </c>
      <c r="D157" s="51">
        <v>57</v>
      </c>
      <c r="E157" s="48" t="s">
        <v>20</v>
      </c>
      <c r="F157" s="47">
        <v>13.61</v>
      </c>
      <c r="G157" s="49">
        <f t="shared" si="6"/>
        <v>775.77</v>
      </c>
      <c r="H157" s="304"/>
    </row>
    <row r="158" spans="1:8" ht="12.75" customHeight="1">
      <c r="A158" s="42" t="s">
        <v>296</v>
      </c>
      <c r="B158" s="45" t="s">
        <v>190</v>
      </c>
      <c r="C158" s="27">
        <v>89708</v>
      </c>
      <c r="D158" s="344">
        <v>16</v>
      </c>
      <c r="E158" s="48" t="s">
        <v>41</v>
      </c>
      <c r="F158" s="47">
        <v>44.08</v>
      </c>
      <c r="G158" s="49">
        <f t="shared" si="6"/>
        <v>705.28</v>
      </c>
      <c r="H158" s="304"/>
    </row>
    <row r="159" spans="1:8" ht="15" customHeight="1">
      <c r="A159" s="67" t="s">
        <v>174</v>
      </c>
      <c r="B159" s="91" t="s">
        <v>339</v>
      </c>
      <c r="C159" s="90"/>
      <c r="D159" s="71"/>
      <c r="E159" s="70"/>
      <c r="F159" s="71"/>
      <c r="G159" s="72"/>
      <c r="H159" s="144"/>
    </row>
    <row r="160" spans="1:8" ht="12.75" customHeight="1">
      <c r="A160" s="42" t="s">
        <v>282</v>
      </c>
      <c r="B160" s="45" t="s">
        <v>180</v>
      </c>
      <c r="C160" s="27">
        <v>86872</v>
      </c>
      <c r="D160" s="51">
        <v>1</v>
      </c>
      <c r="E160" s="48" t="s">
        <v>84</v>
      </c>
      <c r="F160" s="47">
        <v>263.43</v>
      </c>
      <c r="G160" s="49">
        <f aca="true" t="shared" si="7" ref="G160:G168">D160*F160</f>
        <v>263.43</v>
      </c>
      <c r="H160" s="211" t="s">
        <v>336</v>
      </c>
    </row>
    <row r="161" spans="1:8" ht="12.75" customHeight="1">
      <c r="A161" s="42" t="s">
        <v>297</v>
      </c>
      <c r="B161" s="45" t="s">
        <v>252</v>
      </c>
      <c r="C161" s="27" t="s">
        <v>181</v>
      </c>
      <c r="D161" s="51">
        <v>2</v>
      </c>
      <c r="E161" s="48" t="s">
        <v>84</v>
      </c>
      <c r="F161" s="47">
        <v>418.62</v>
      </c>
      <c r="G161" s="49">
        <f t="shared" si="7"/>
        <v>837.24</v>
      </c>
      <c r="H161" s="212" t="s">
        <v>338</v>
      </c>
    </row>
    <row r="162" spans="1:8" ht="12.75" customHeight="1">
      <c r="A162" s="42" t="s">
        <v>298</v>
      </c>
      <c r="B162" s="45" t="s">
        <v>254</v>
      </c>
      <c r="C162" s="291" t="s">
        <v>416</v>
      </c>
      <c r="D162" s="51">
        <v>2</v>
      </c>
      <c r="E162" s="48" t="s">
        <v>41</v>
      </c>
      <c r="F162" s="47">
        <v>24.4</v>
      </c>
      <c r="G162" s="49">
        <f t="shared" si="7"/>
        <v>48.8</v>
      </c>
      <c r="H162" s="212" t="s">
        <v>338</v>
      </c>
    </row>
    <row r="163" spans="1:8" ht="12.75" customHeight="1">
      <c r="A163" s="42" t="s">
        <v>299</v>
      </c>
      <c r="B163" s="52" t="s">
        <v>182</v>
      </c>
      <c r="C163" s="30">
        <v>9535</v>
      </c>
      <c r="D163" s="123">
        <v>3</v>
      </c>
      <c r="E163" s="124" t="s">
        <v>84</v>
      </c>
      <c r="F163" s="206">
        <v>56.5</v>
      </c>
      <c r="G163" s="213">
        <f t="shared" si="7"/>
        <v>169.5</v>
      </c>
      <c r="H163" s="212" t="s">
        <v>338</v>
      </c>
    </row>
    <row r="164" spans="1:8" ht="12.75" customHeight="1">
      <c r="A164" s="42" t="s">
        <v>300</v>
      </c>
      <c r="B164" s="45" t="s">
        <v>376</v>
      </c>
      <c r="C164" s="30">
        <v>86943</v>
      </c>
      <c r="D164" s="51">
        <v>13</v>
      </c>
      <c r="E164" s="48" t="s">
        <v>41</v>
      </c>
      <c r="F164" s="47">
        <v>147.98</v>
      </c>
      <c r="G164" s="49">
        <f t="shared" si="7"/>
        <v>1923.7399999999998</v>
      </c>
      <c r="H164" s="212" t="s">
        <v>338</v>
      </c>
    </row>
    <row r="165" spans="1:8" ht="12.75" customHeight="1">
      <c r="A165" s="42" t="s">
        <v>301</v>
      </c>
      <c r="B165" s="45" t="s">
        <v>340</v>
      </c>
      <c r="C165" s="291" t="s">
        <v>341</v>
      </c>
      <c r="D165" s="51">
        <v>13</v>
      </c>
      <c r="E165" s="48" t="s">
        <v>41</v>
      </c>
      <c r="F165" s="47">
        <v>189.23</v>
      </c>
      <c r="G165" s="49">
        <f t="shared" si="7"/>
        <v>2459.99</v>
      </c>
      <c r="H165" s="212" t="s">
        <v>338</v>
      </c>
    </row>
    <row r="166" spans="1:8" ht="12.75" customHeight="1">
      <c r="A166" s="42" t="s">
        <v>342</v>
      </c>
      <c r="B166" s="45" t="s">
        <v>362</v>
      </c>
      <c r="C166" s="291" t="s">
        <v>363</v>
      </c>
      <c r="D166" s="51">
        <v>9.55</v>
      </c>
      <c r="E166" s="48" t="s">
        <v>12</v>
      </c>
      <c r="F166" s="47">
        <v>463.1</v>
      </c>
      <c r="G166" s="49">
        <f t="shared" si="7"/>
        <v>4422.6050000000005</v>
      </c>
      <c r="H166" s="212" t="s">
        <v>338</v>
      </c>
    </row>
    <row r="167" spans="1:8" ht="12.75" customHeight="1">
      <c r="A167" s="42" t="s">
        <v>343</v>
      </c>
      <c r="B167" s="45" t="s">
        <v>377</v>
      </c>
      <c r="C167" s="27">
        <v>86935</v>
      </c>
      <c r="D167" s="51">
        <v>7</v>
      </c>
      <c r="E167" s="48" t="s">
        <v>84</v>
      </c>
      <c r="F167" s="47">
        <v>161.43</v>
      </c>
      <c r="G167" s="49">
        <f t="shared" si="7"/>
        <v>1130.01</v>
      </c>
      <c r="H167" s="212" t="s">
        <v>338</v>
      </c>
    </row>
    <row r="168" spans="1:8" ht="12.75" customHeight="1">
      <c r="A168" s="42" t="s">
        <v>344</v>
      </c>
      <c r="B168" s="45" t="s">
        <v>345</v>
      </c>
      <c r="C168" s="301" t="s">
        <v>346</v>
      </c>
      <c r="D168" s="51">
        <v>7</v>
      </c>
      <c r="E168" s="48" t="s">
        <v>41</v>
      </c>
      <c r="F168" s="47">
        <v>259.13</v>
      </c>
      <c r="G168" s="49">
        <f t="shared" si="7"/>
        <v>1813.9099999999999</v>
      </c>
      <c r="H168" s="212" t="s">
        <v>338</v>
      </c>
    </row>
    <row r="169" spans="1:8" ht="15" customHeight="1">
      <c r="A169" s="67" t="s">
        <v>176</v>
      </c>
      <c r="B169" s="68" t="s">
        <v>281</v>
      </c>
      <c r="C169" s="90"/>
      <c r="D169" s="71"/>
      <c r="E169" s="70"/>
      <c r="F169" s="71"/>
      <c r="G169" s="72"/>
      <c r="H169" s="147"/>
    </row>
    <row r="170" spans="1:8" ht="12.75" customHeight="1">
      <c r="A170" s="42" t="s">
        <v>347</v>
      </c>
      <c r="B170" s="45" t="s">
        <v>253</v>
      </c>
      <c r="C170" s="302" t="s">
        <v>387</v>
      </c>
      <c r="D170" s="51">
        <v>4</v>
      </c>
      <c r="E170" s="48" t="s">
        <v>84</v>
      </c>
      <c r="F170" s="47">
        <f>455.59+209.87</f>
        <v>665.46</v>
      </c>
      <c r="G170" s="49">
        <f aca="true" t="shared" si="8" ref="G170:G175">D170*F170</f>
        <v>2661.84</v>
      </c>
      <c r="H170" s="147"/>
    </row>
    <row r="171" spans="1:8" ht="12.75" customHeight="1">
      <c r="A171" s="42" t="s">
        <v>348</v>
      </c>
      <c r="B171" s="45" t="s">
        <v>255</v>
      </c>
      <c r="C171" s="291" t="s">
        <v>361</v>
      </c>
      <c r="D171" s="51">
        <v>4</v>
      </c>
      <c r="E171" s="48" t="s">
        <v>41</v>
      </c>
      <c r="F171" s="47">
        <v>597.58</v>
      </c>
      <c r="G171" s="49">
        <f t="shared" si="8"/>
        <v>2390.32</v>
      </c>
      <c r="H171" s="147"/>
    </row>
    <row r="172" spans="1:8" ht="12.75" customHeight="1">
      <c r="A172" s="42" t="s">
        <v>349</v>
      </c>
      <c r="B172" s="209" t="s">
        <v>439</v>
      </c>
      <c r="C172" s="291" t="s">
        <v>302</v>
      </c>
      <c r="D172" s="51">
        <v>4</v>
      </c>
      <c r="E172" s="48" t="s">
        <v>41</v>
      </c>
      <c r="F172" s="47">
        <v>134.55</v>
      </c>
      <c r="G172" s="49">
        <f t="shared" si="8"/>
        <v>538.2</v>
      </c>
      <c r="H172" s="147"/>
    </row>
    <row r="173" spans="1:8" ht="12.75" customHeight="1">
      <c r="A173" s="42" t="s">
        <v>350</v>
      </c>
      <c r="B173" s="209" t="s">
        <v>440</v>
      </c>
      <c r="C173" s="291" t="s">
        <v>303</v>
      </c>
      <c r="D173" s="51">
        <v>1</v>
      </c>
      <c r="E173" s="48" t="s">
        <v>41</v>
      </c>
      <c r="F173" s="47">
        <v>252.98</v>
      </c>
      <c r="G173" s="49">
        <f t="shared" si="8"/>
        <v>252.98</v>
      </c>
      <c r="H173" s="147"/>
    </row>
    <row r="174" spans="1:8" ht="12.75" customHeight="1">
      <c r="A174" s="42" t="s">
        <v>351</v>
      </c>
      <c r="B174" s="209" t="s">
        <v>441</v>
      </c>
      <c r="C174" s="291" t="s">
        <v>304</v>
      </c>
      <c r="D174" s="51">
        <v>4</v>
      </c>
      <c r="E174" s="48" t="s">
        <v>41</v>
      </c>
      <c r="F174" s="47">
        <v>375.54</v>
      </c>
      <c r="G174" s="49">
        <f t="shared" si="8"/>
        <v>1502.16</v>
      </c>
      <c r="H174" s="147"/>
    </row>
    <row r="175" spans="1:8" ht="12.75" customHeight="1" thickBot="1">
      <c r="A175" s="42" t="s">
        <v>352</v>
      </c>
      <c r="B175" s="210" t="s">
        <v>442</v>
      </c>
      <c r="C175" s="291" t="s">
        <v>305</v>
      </c>
      <c r="D175" s="123">
        <v>4</v>
      </c>
      <c r="E175" s="48" t="s">
        <v>41</v>
      </c>
      <c r="F175" s="206">
        <v>123.79</v>
      </c>
      <c r="G175" s="49">
        <f t="shared" si="8"/>
        <v>495.16</v>
      </c>
      <c r="H175" s="147"/>
    </row>
    <row r="176" spans="1:8" ht="15" customHeight="1" thickBot="1" thickTop="1">
      <c r="A176" s="36"/>
      <c r="B176" s="37" t="s">
        <v>200</v>
      </c>
      <c r="C176" s="53"/>
      <c r="D176" s="41"/>
      <c r="E176" s="40"/>
      <c r="F176" s="41"/>
      <c r="G176" s="25">
        <f>SUM(G144:G175)</f>
        <v>41335.994999999995</v>
      </c>
      <c r="H176" s="136"/>
    </row>
    <row r="177" spans="1:8" ht="15" customHeight="1" thickTop="1">
      <c r="A177" s="78">
        <v>12</v>
      </c>
      <c r="B177" s="79" t="s">
        <v>223</v>
      </c>
      <c r="C177" s="80"/>
      <c r="D177" s="82"/>
      <c r="E177" s="81"/>
      <c r="F177" s="82"/>
      <c r="G177" s="77"/>
      <c r="H177" s="136"/>
    </row>
    <row r="178" spans="1:8" ht="15" customHeight="1">
      <c r="A178" s="67" t="s">
        <v>224</v>
      </c>
      <c r="B178" s="68" t="s">
        <v>477</v>
      </c>
      <c r="C178" s="90"/>
      <c r="D178" s="71"/>
      <c r="E178" s="70"/>
      <c r="F178" s="71"/>
      <c r="G178" s="72"/>
      <c r="H178" s="136"/>
    </row>
    <row r="179" spans="1:8" ht="15" customHeight="1">
      <c r="A179" s="42" t="s">
        <v>269</v>
      </c>
      <c r="B179" s="45" t="s">
        <v>474</v>
      </c>
      <c r="C179" s="345" t="s">
        <v>473</v>
      </c>
      <c r="D179" s="47">
        <v>47.8</v>
      </c>
      <c r="E179" s="48" t="s">
        <v>12</v>
      </c>
      <c r="F179" s="47">
        <v>3.08</v>
      </c>
      <c r="G179" s="17">
        <f>D179*F179</f>
        <v>147.224</v>
      </c>
      <c r="H179" s="136"/>
    </row>
    <row r="180" spans="1:8" ht="15" customHeight="1" thickBot="1">
      <c r="A180" s="12" t="s">
        <v>270</v>
      </c>
      <c r="B180" s="26" t="s">
        <v>273</v>
      </c>
      <c r="C180" s="28" t="s">
        <v>378</v>
      </c>
      <c r="D180" s="51">
        <v>47.8</v>
      </c>
      <c r="E180" s="15" t="s">
        <v>12</v>
      </c>
      <c r="F180" s="47">
        <v>11.44</v>
      </c>
      <c r="G180" s="17">
        <f>D180*F180</f>
        <v>546.832</v>
      </c>
      <c r="H180" s="136"/>
    </row>
    <row r="181" spans="1:8" ht="15" customHeight="1" thickBot="1" thickTop="1">
      <c r="A181" s="36"/>
      <c r="B181" s="37" t="s">
        <v>200</v>
      </c>
      <c r="C181" s="53"/>
      <c r="D181" s="41"/>
      <c r="E181" s="40"/>
      <c r="F181" s="41"/>
      <c r="G181" s="310">
        <f>SUM(G179:G180)</f>
        <v>694.056</v>
      </c>
      <c r="H181" s="136"/>
    </row>
    <row r="182" spans="1:8" ht="15" customHeight="1" thickTop="1">
      <c r="A182" s="67" t="s">
        <v>225</v>
      </c>
      <c r="B182" s="68" t="s">
        <v>432</v>
      </c>
      <c r="C182" s="90"/>
      <c r="D182" s="71"/>
      <c r="E182" s="70"/>
      <c r="F182" s="71"/>
      <c r="G182" s="72"/>
      <c r="H182" s="136"/>
    </row>
    <row r="183" spans="1:8" ht="12.75" customHeight="1">
      <c r="A183" s="12" t="s">
        <v>274</v>
      </c>
      <c r="B183" s="26" t="s">
        <v>419</v>
      </c>
      <c r="C183" s="28">
        <v>90877</v>
      </c>
      <c r="D183" s="51">
        <v>16</v>
      </c>
      <c r="E183" s="15" t="s">
        <v>20</v>
      </c>
      <c r="F183" s="47">
        <v>29.19</v>
      </c>
      <c r="G183" s="17">
        <f aca="true" t="shared" si="9" ref="G183:G189">D183*F183</f>
        <v>467.04</v>
      </c>
      <c r="H183" s="136"/>
    </row>
    <row r="184" spans="1:8" ht="12.75" customHeight="1">
      <c r="A184" s="12" t="s">
        <v>275</v>
      </c>
      <c r="B184" s="26" t="s">
        <v>271</v>
      </c>
      <c r="C184" s="28" t="s">
        <v>241</v>
      </c>
      <c r="D184" s="51">
        <v>0.64</v>
      </c>
      <c r="E184" s="15" t="s">
        <v>17</v>
      </c>
      <c r="F184" s="47">
        <v>49.76</v>
      </c>
      <c r="G184" s="17">
        <f t="shared" si="9"/>
        <v>31.8464</v>
      </c>
      <c r="H184" s="136"/>
    </row>
    <row r="185" spans="1:8" ht="12.75" customHeight="1">
      <c r="A185" s="12" t="s">
        <v>421</v>
      </c>
      <c r="B185" s="26" t="s">
        <v>23</v>
      </c>
      <c r="C185" s="28" t="s">
        <v>24</v>
      </c>
      <c r="D185" s="51">
        <v>72</v>
      </c>
      <c r="E185" s="15" t="s">
        <v>25</v>
      </c>
      <c r="F185" s="16">
        <v>7.54</v>
      </c>
      <c r="G185" s="17">
        <f t="shared" si="9"/>
        <v>542.88</v>
      </c>
      <c r="H185" s="136"/>
    </row>
    <row r="186" spans="1:8" ht="12.75" customHeight="1">
      <c r="A186" s="12" t="s">
        <v>422</v>
      </c>
      <c r="B186" s="26" t="s">
        <v>256</v>
      </c>
      <c r="C186" s="28" t="s">
        <v>257</v>
      </c>
      <c r="D186" s="51">
        <v>1.44</v>
      </c>
      <c r="E186" s="15" t="s">
        <v>17</v>
      </c>
      <c r="F186" s="16">
        <v>332.92</v>
      </c>
      <c r="G186" s="17">
        <f t="shared" si="9"/>
        <v>479.4048</v>
      </c>
      <c r="H186" s="136"/>
    </row>
    <row r="187" spans="1:8" ht="12.75" customHeight="1">
      <c r="A187" s="12" t="s">
        <v>423</v>
      </c>
      <c r="B187" s="26" t="s">
        <v>272</v>
      </c>
      <c r="C187" s="28">
        <v>87454</v>
      </c>
      <c r="D187" s="51">
        <v>32</v>
      </c>
      <c r="E187" s="15" t="s">
        <v>12</v>
      </c>
      <c r="F187" s="16">
        <v>49.79</v>
      </c>
      <c r="G187" s="17">
        <f t="shared" si="9"/>
        <v>1593.28</v>
      </c>
      <c r="H187" s="136"/>
    </row>
    <row r="188" spans="1:8" ht="12.75" customHeight="1">
      <c r="A188" s="12" t="s">
        <v>424</v>
      </c>
      <c r="B188" s="26" t="s">
        <v>273</v>
      </c>
      <c r="C188" s="28" t="s">
        <v>378</v>
      </c>
      <c r="D188" s="51">
        <v>64</v>
      </c>
      <c r="E188" s="15" t="s">
        <v>12</v>
      </c>
      <c r="F188" s="47">
        <v>11.44</v>
      </c>
      <c r="G188" s="17">
        <f t="shared" si="9"/>
        <v>732.16</v>
      </c>
      <c r="H188" s="136"/>
    </row>
    <row r="189" spans="1:8" ht="12.75" customHeight="1" thickBot="1">
      <c r="A189" s="12" t="s">
        <v>425</v>
      </c>
      <c r="B189" s="26" t="s">
        <v>53</v>
      </c>
      <c r="C189" s="28">
        <v>72105</v>
      </c>
      <c r="D189" s="51">
        <v>16</v>
      </c>
      <c r="E189" s="15" t="s">
        <v>20</v>
      </c>
      <c r="F189" s="47">
        <v>43.6</v>
      </c>
      <c r="G189" s="17">
        <f t="shared" si="9"/>
        <v>697.6</v>
      </c>
      <c r="H189" s="136"/>
    </row>
    <row r="190" spans="1:8" ht="12.75" customHeight="1" thickBot="1" thickTop="1">
      <c r="A190" s="36"/>
      <c r="B190" s="37" t="s">
        <v>200</v>
      </c>
      <c r="C190" s="53"/>
      <c r="D190" s="41"/>
      <c r="E190" s="40"/>
      <c r="F190" s="41"/>
      <c r="G190" s="310">
        <f>SUM(G183:G189)</f>
        <v>4544.2112</v>
      </c>
      <c r="H190" s="136"/>
    </row>
    <row r="191" spans="1:8" ht="15" customHeight="1" thickTop="1">
      <c r="A191" s="67" t="s">
        <v>226</v>
      </c>
      <c r="B191" s="68" t="s">
        <v>420</v>
      </c>
      <c r="C191" s="90"/>
      <c r="D191" s="71"/>
      <c r="E191" s="70"/>
      <c r="F191" s="71"/>
      <c r="G191" s="72"/>
      <c r="H191" s="136"/>
    </row>
    <row r="192" spans="1:8" ht="12.75" customHeight="1">
      <c r="A192" s="12" t="s">
        <v>276</v>
      </c>
      <c r="B192" s="26" t="s">
        <v>419</v>
      </c>
      <c r="C192" s="28">
        <v>90877</v>
      </c>
      <c r="D192" s="51">
        <v>22</v>
      </c>
      <c r="E192" s="15" t="s">
        <v>20</v>
      </c>
      <c r="F192" s="47">
        <v>29.19</v>
      </c>
      <c r="G192" s="17">
        <f aca="true" t="shared" si="10" ref="G192:G198">D192*F192</f>
        <v>642.1800000000001</v>
      </c>
      <c r="H192" s="136"/>
    </row>
    <row r="193" spans="1:8" ht="12.75" customHeight="1">
      <c r="A193" s="12" t="s">
        <v>277</v>
      </c>
      <c r="B193" s="26" t="s">
        <v>271</v>
      </c>
      <c r="C193" s="28" t="s">
        <v>241</v>
      </c>
      <c r="D193" s="51">
        <v>0.74</v>
      </c>
      <c r="E193" s="15" t="s">
        <v>17</v>
      </c>
      <c r="F193" s="47">
        <v>49.76</v>
      </c>
      <c r="G193" s="17">
        <f t="shared" si="10"/>
        <v>36.822399999999995</v>
      </c>
      <c r="H193" s="136"/>
    </row>
    <row r="194" spans="1:8" ht="12.75" customHeight="1">
      <c r="A194" s="12" t="s">
        <v>280</v>
      </c>
      <c r="B194" s="26" t="s">
        <v>23</v>
      </c>
      <c r="C194" s="28" t="s">
        <v>24</v>
      </c>
      <c r="D194" s="51">
        <v>85.5</v>
      </c>
      <c r="E194" s="15" t="s">
        <v>25</v>
      </c>
      <c r="F194" s="16">
        <v>7.54</v>
      </c>
      <c r="G194" s="17">
        <f t="shared" si="10"/>
        <v>644.67</v>
      </c>
      <c r="H194" s="136"/>
    </row>
    <row r="195" spans="1:8" ht="12.75" customHeight="1">
      <c r="A195" s="12" t="s">
        <v>426</v>
      </c>
      <c r="B195" s="26" t="s">
        <v>256</v>
      </c>
      <c r="C195" s="28" t="s">
        <v>257</v>
      </c>
      <c r="D195" s="51">
        <v>1.71</v>
      </c>
      <c r="E195" s="15" t="s">
        <v>17</v>
      </c>
      <c r="F195" s="16">
        <v>332.92</v>
      </c>
      <c r="G195" s="17">
        <f t="shared" si="10"/>
        <v>569.2932000000001</v>
      </c>
      <c r="H195" s="136"/>
    </row>
    <row r="196" spans="1:8" ht="12.75" customHeight="1">
      <c r="A196" s="12" t="s">
        <v>427</v>
      </c>
      <c r="B196" s="26" t="s">
        <v>272</v>
      </c>
      <c r="C196" s="28">
        <v>87454</v>
      </c>
      <c r="D196" s="51">
        <v>14.4</v>
      </c>
      <c r="E196" s="15" t="s">
        <v>12</v>
      </c>
      <c r="F196" s="16">
        <v>49.79</v>
      </c>
      <c r="G196" s="17">
        <f t="shared" si="10"/>
        <v>716.976</v>
      </c>
      <c r="H196" s="136"/>
    </row>
    <row r="197" spans="1:8" ht="12.75" customHeight="1">
      <c r="A197" s="12" t="s">
        <v>463</v>
      </c>
      <c r="B197" s="26" t="s">
        <v>273</v>
      </c>
      <c r="C197" s="28" t="s">
        <v>378</v>
      </c>
      <c r="D197" s="51">
        <v>28.8</v>
      </c>
      <c r="E197" s="15" t="s">
        <v>12</v>
      </c>
      <c r="F197" s="47">
        <v>11.44</v>
      </c>
      <c r="G197" s="17">
        <f t="shared" si="10"/>
        <v>329.472</v>
      </c>
      <c r="H197" s="136"/>
    </row>
    <row r="198" spans="1:8" ht="12.75" customHeight="1">
      <c r="A198" s="12" t="s">
        <v>464</v>
      </c>
      <c r="B198" s="26" t="s">
        <v>53</v>
      </c>
      <c r="C198" s="28">
        <v>72105</v>
      </c>
      <c r="D198" s="51">
        <v>4.4</v>
      </c>
      <c r="E198" s="15" t="s">
        <v>20</v>
      </c>
      <c r="F198" s="47">
        <v>43.6</v>
      </c>
      <c r="G198" s="17">
        <f t="shared" si="10"/>
        <v>191.84000000000003</v>
      </c>
      <c r="H198" s="136"/>
    </row>
    <row r="199" spans="1:8" ht="12.75" customHeight="1">
      <c r="A199" s="12" t="s">
        <v>465</v>
      </c>
      <c r="B199" s="26" t="s">
        <v>405</v>
      </c>
      <c r="C199" s="28" t="s">
        <v>383</v>
      </c>
      <c r="D199" s="51">
        <v>21</v>
      </c>
      <c r="E199" s="15" t="s">
        <v>12</v>
      </c>
      <c r="F199" s="16">
        <v>221.18</v>
      </c>
      <c r="G199" s="17">
        <f>D199*F199</f>
        <v>4644.78</v>
      </c>
      <c r="H199" s="136"/>
    </row>
    <row r="200" spans="1:8" ht="12.75" customHeight="1" thickBot="1">
      <c r="A200" s="12" t="s">
        <v>466</v>
      </c>
      <c r="B200" s="26" t="s">
        <v>65</v>
      </c>
      <c r="C200" s="28" t="s">
        <v>66</v>
      </c>
      <c r="D200" s="51">
        <v>42</v>
      </c>
      <c r="E200" s="15" t="s">
        <v>12</v>
      </c>
      <c r="F200" s="16">
        <v>22.58</v>
      </c>
      <c r="G200" s="17">
        <f>D200*F200</f>
        <v>948.3599999999999</v>
      </c>
      <c r="H200" s="136"/>
    </row>
    <row r="201" spans="1:8" ht="12.75" customHeight="1" thickBot="1" thickTop="1">
      <c r="A201" s="36"/>
      <c r="B201" s="37" t="s">
        <v>200</v>
      </c>
      <c r="C201" s="53"/>
      <c r="D201" s="41"/>
      <c r="E201" s="40"/>
      <c r="F201" s="41"/>
      <c r="G201" s="310">
        <f>SUM(G192:G200)</f>
        <v>8724.3936</v>
      </c>
      <c r="H201" s="136"/>
    </row>
    <row r="202" spans="1:8" ht="15" customHeight="1" thickTop="1">
      <c r="A202" s="67" t="s">
        <v>227</v>
      </c>
      <c r="B202" s="68" t="s">
        <v>418</v>
      </c>
      <c r="C202" s="90"/>
      <c r="D202" s="71"/>
      <c r="E202" s="70"/>
      <c r="F202" s="71"/>
      <c r="G202" s="72"/>
      <c r="H202" s="136"/>
    </row>
    <row r="203" spans="1:8" ht="12.75" customHeight="1">
      <c r="A203" s="12" t="s">
        <v>279</v>
      </c>
      <c r="B203" s="26" t="s">
        <v>233</v>
      </c>
      <c r="C203" s="27" t="s">
        <v>239</v>
      </c>
      <c r="D203" s="51">
        <v>26.1</v>
      </c>
      <c r="E203" s="15" t="s">
        <v>12</v>
      </c>
      <c r="F203" s="16">
        <v>95.21</v>
      </c>
      <c r="G203" s="17">
        <f>D203*F203</f>
        <v>2484.9809999999998</v>
      </c>
      <c r="H203" s="136"/>
    </row>
    <row r="204" spans="1:8" ht="12.75" customHeight="1">
      <c r="A204" s="12" t="s">
        <v>429</v>
      </c>
      <c r="B204" s="26" t="s">
        <v>436</v>
      </c>
      <c r="C204" s="28" t="s">
        <v>373</v>
      </c>
      <c r="D204" s="51">
        <v>4</v>
      </c>
      <c r="E204" s="15" t="s">
        <v>12</v>
      </c>
      <c r="F204" s="16">
        <v>284.51</v>
      </c>
      <c r="G204" s="17">
        <f>D204*F204</f>
        <v>1138.04</v>
      </c>
      <c r="H204" s="136"/>
    </row>
    <row r="205" spans="1:8" ht="12.75" customHeight="1">
      <c r="A205" s="12" t="s">
        <v>467</v>
      </c>
      <c r="B205" s="26" t="s">
        <v>434</v>
      </c>
      <c r="C205" s="28" t="s">
        <v>373</v>
      </c>
      <c r="D205" s="51">
        <v>3</v>
      </c>
      <c r="E205" s="15" t="s">
        <v>12</v>
      </c>
      <c r="F205" s="16">
        <v>284.51</v>
      </c>
      <c r="G205" s="17">
        <f>D205*F205</f>
        <v>853.53</v>
      </c>
      <c r="H205" s="136"/>
    </row>
    <row r="206" spans="1:8" ht="12.75" customHeight="1">
      <c r="A206" s="12" t="s">
        <v>468</v>
      </c>
      <c r="B206" s="26" t="s">
        <v>435</v>
      </c>
      <c r="C206" s="28" t="s">
        <v>433</v>
      </c>
      <c r="D206" s="51">
        <v>14</v>
      </c>
      <c r="E206" s="15" t="s">
        <v>17</v>
      </c>
      <c r="F206" s="16">
        <v>285.51</v>
      </c>
      <c r="G206" s="17">
        <f>D206*F206</f>
        <v>3997.14</v>
      </c>
      <c r="H206" s="136"/>
    </row>
    <row r="207" spans="1:8" ht="12.75" customHeight="1" thickBot="1">
      <c r="A207" s="12" t="s">
        <v>469</v>
      </c>
      <c r="B207" s="26" t="s">
        <v>65</v>
      </c>
      <c r="C207" s="28" t="s">
        <v>66</v>
      </c>
      <c r="D207" s="51">
        <v>42</v>
      </c>
      <c r="E207" s="15" t="s">
        <v>12</v>
      </c>
      <c r="F207" s="16">
        <v>22.58</v>
      </c>
      <c r="G207" s="17">
        <f>D207*F207</f>
        <v>948.3599999999999</v>
      </c>
      <c r="H207" s="136"/>
    </row>
    <row r="208" spans="1:8" ht="12.75" customHeight="1" thickBot="1" thickTop="1">
      <c r="A208" s="36"/>
      <c r="B208" s="37" t="s">
        <v>200</v>
      </c>
      <c r="C208" s="53"/>
      <c r="D208" s="41"/>
      <c r="E208" s="40"/>
      <c r="F208" s="41"/>
      <c r="G208" s="310">
        <f>SUM(G203:G207)</f>
        <v>9422.051</v>
      </c>
      <c r="H208" s="136"/>
    </row>
    <row r="209" spans="1:8" ht="15" customHeight="1" thickTop="1">
      <c r="A209" s="67" t="s">
        <v>430</v>
      </c>
      <c r="B209" s="68" t="s">
        <v>417</v>
      </c>
      <c r="C209" s="90"/>
      <c r="D209" s="71"/>
      <c r="E209" s="70"/>
      <c r="F209" s="71"/>
      <c r="G209" s="72"/>
      <c r="H209" s="136"/>
    </row>
    <row r="210" spans="1:8" ht="12.75" customHeight="1">
      <c r="A210" s="12" t="s">
        <v>431</v>
      </c>
      <c r="B210" s="26" t="s">
        <v>72</v>
      </c>
      <c r="C210" s="28">
        <v>5622</v>
      </c>
      <c r="D210" s="51">
        <v>103.26</v>
      </c>
      <c r="E210" s="15" t="s">
        <v>12</v>
      </c>
      <c r="F210" s="47">
        <v>4.69</v>
      </c>
      <c r="G210" s="17">
        <f>D210*F210</f>
        <v>484.28940000000006</v>
      </c>
      <c r="H210" s="136"/>
    </row>
    <row r="211" spans="1:8" ht="12.75" customHeight="1" thickBot="1">
      <c r="A211" s="12" t="s">
        <v>470</v>
      </c>
      <c r="B211" s="26" t="s">
        <v>217</v>
      </c>
      <c r="C211" s="28" t="s">
        <v>243</v>
      </c>
      <c r="D211" s="51">
        <v>103.26</v>
      </c>
      <c r="E211" s="15" t="s">
        <v>12</v>
      </c>
      <c r="F211" s="47">
        <v>27.43</v>
      </c>
      <c r="G211" s="17">
        <f>D211*F211</f>
        <v>2832.4218</v>
      </c>
      <c r="H211" s="136"/>
    </row>
    <row r="212" spans="1:8" ht="12.75" customHeight="1" thickBot="1" thickTop="1">
      <c r="A212" s="36"/>
      <c r="B212" s="37" t="s">
        <v>200</v>
      </c>
      <c r="C212" s="53"/>
      <c r="D212" s="41"/>
      <c r="E212" s="40"/>
      <c r="F212" s="41"/>
      <c r="G212" s="310">
        <f>SUM(G210:G211)</f>
        <v>3316.7112</v>
      </c>
      <c r="H212" s="136"/>
    </row>
    <row r="213" spans="1:8" ht="15" customHeight="1" thickTop="1">
      <c r="A213" s="67" t="s">
        <v>471</v>
      </c>
      <c r="B213" s="68" t="s">
        <v>278</v>
      </c>
      <c r="C213" s="90"/>
      <c r="D213" s="71"/>
      <c r="E213" s="70"/>
      <c r="F213" s="71"/>
      <c r="G213" s="72"/>
      <c r="H213" s="136"/>
    </row>
    <row r="214" spans="1:8" ht="12.75" customHeight="1">
      <c r="A214" s="12" t="s">
        <v>472</v>
      </c>
      <c r="B214" s="26" t="s">
        <v>72</v>
      </c>
      <c r="C214" s="28">
        <v>5622</v>
      </c>
      <c r="D214" s="51">
        <v>173.84</v>
      </c>
      <c r="E214" s="15" t="s">
        <v>12</v>
      </c>
      <c r="F214" s="47">
        <v>4.69</v>
      </c>
      <c r="G214" s="17">
        <f>D214*F214</f>
        <v>815.3096</v>
      </c>
      <c r="H214" s="136"/>
    </row>
    <row r="215" spans="1:8" ht="12.75" customHeight="1" thickBot="1">
      <c r="A215" s="12" t="s">
        <v>472</v>
      </c>
      <c r="B215" s="26" t="s">
        <v>475</v>
      </c>
      <c r="C215" s="28">
        <v>85180</v>
      </c>
      <c r="D215" s="51">
        <v>200.39</v>
      </c>
      <c r="E215" s="15" t="s">
        <v>12</v>
      </c>
      <c r="F215" s="16">
        <v>7.5</v>
      </c>
      <c r="G215" s="17">
        <f>D215*F215</f>
        <v>1502.925</v>
      </c>
      <c r="H215" s="136"/>
    </row>
    <row r="216" spans="1:8" ht="12.75" customHeight="1" thickBot="1" thickTop="1">
      <c r="A216" s="36"/>
      <c r="B216" s="37" t="s">
        <v>200</v>
      </c>
      <c r="C216" s="53"/>
      <c r="D216" s="24"/>
      <c r="E216" s="40"/>
      <c r="F216" s="41"/>
      <c r="G216" s="310">
        <f>SUM(G214:G215)</f>
        <v>2318.2346</v>
      </c>
      <c r="H216" s="136"/>
    </row>
    <row r="217" spans="1:7" ht="15.75" customHeight="1" thickBot="1" thickTop="1">
      <c r="A217" s="36"/>
      <c r="B217" s="37" t="s">
        <v>428</v>
      </c>
      <c r="C217" s="38"/>
      <c r="D217" s="41"/>
      <c r="E217" s="40"/>
      <c r="F217" s="41"/>
      <c r="G217" s="25">
        <f>SUM(G181+G190+G201+G208+G212+G216)</f>
        <v>29019.6576</v>
      </c>
    </row>
    <row r="218" spans="1:7" ht="6" customHeight="1" thickBot="1" thickTop="1">
      <c r="A218" s="180"/>
      <c r="B218" s="181"/>
      <c r="C218" s="182"/>
      <c r="D218" s="183"/>
      <c r="E218" s="180"/>
      <c r="F218" s="183"/>
      <c r="G218" s="184"/>
    </row>
    <row r="219" spans="1:8" ht="19.5" customHeight="1" thickBot="1" thickTop="1">
      <c r="A219" s="314"/>
      <c r="B219" s="318" t="s">
        <v>438</v>
      </c>
      <c r="C219" s="323"/>
      <c r="D219" s="321"/>
      <c r="E219" s="324"/>
      <c r="F219" s="321"/>
      <c r="G219" s="315">
        <f>SUM(G21+G30+G37+G58+G67+G76+G84+G90+G97+G141+G176+G217)</f>
        <v>395961.53518999997</v>
      </c>
      <c r="H219" s="54"/>
    </row>
    <row r="220" spans="1:8" ht="15" customHeight="1" thickBot="1" thickTop="1">
      <c r="A220" s="312"/>
      <c r="B220" s="319" t="s">
        <v>478</v>
      </c>
      <c r="C220" s="181"/>
      <c r="D220" s="184"/>
      <c r="E220" s="325"/>
      <c r="F220" s="184"/>
      <c r="G220" s="313">
        <f>G219*0.085</f>
        <v>33656.730491149996</v>
      </c>
      <c r="H220" s="60"/>
    </row>
    <row r="221" spans="1:9" ht="24.75" customHeight="1" thickBot="1" thickTop="1">
      <c r="A221" s="316"/>
      <c r="B221" s="320" t="s">
        <v>437</v>
      </c>
      <c r="C221" s="326"/>
      <c r="D221" s="322"/>
      <c r="E221" s="327"/>
      <c r="F221" s="322"/>
      <c r="G221" s="317">
        <f>SUM(G219:G220)</f>
        <v>429618.26568114996</v>
      </c>
      <c r="H221" s="60">
        <f>305.99+19.8</f>
        <v>325.79</v>
      </c>
      <c r="I221" s="328">
        <f>G221/H221</f>
        <v>1318.696908073145</v>
      </c>
    </row>
    <row r="222" spans="1:8" ht="19.5" customHeight="1" thickTop="1">
      <c r="A222" s="61"/>
      <c r="B222" s="55"/>
      <c r="C222" s="56"/>
      <c r="D222" s="57"/>
      <c r="E222" s="58"/>
      <c r="F222" s="57"/>
      <c r="G222" s="59"/>
      <c r="H222" s="60"/>
    </row>
    <row r="223" spans="1:8" ht="9" customHeight="1">
      <c r="A223" s="61"/>
      <c r="B223" s="55"/>
      <c r="C223" s="56"/>
      <c r="D223" s="57"/>
      <c r="E223" s="58"/>
      <c r="F223" s="57"/>
      <c r="G223" s="59"/>
      <c r="H223" s="60"/>
    </row>
    <row r="224" spans="1:8" ht="9" customHeight="1">
      <c r="A224" s="61"/>
      <c r="B224" s="55"/>
      <c r="C224" s="56"/>
      <c r="D224" s="57"/>
      <c r="E224" s="58"/>
      <c r="F224" s="57"/>
      <c r="G224" s="59"/>
      <c r="H224" s="60"/>
    </row>
    <row r="225" spans="1:8" ht="9" customHeight="1">
      <c r="A225" s="61"/>
      <c r="B225" s="55"/>
      <c r="C225" s="56"/>
      <c r="D225" s="57"/>
      <c r="E225" s="58"/>
      <c r="F225" s="57"/>
      <c r="G225" s="59"/>
      <c r="H225" s="60"/>
    </row>
    <row r="226" spans="4:7" ht="13.5" thickBot="1">
      <c r="D226" s="62"/>
      <c r="E226" s="62"/>
      <c r="F226" s="62"/>
      <c r="G226" s="62"/>
    </row>
    <row r="227" spans="2:6" ht="12.75">
      <c r="B227" s="178" t="s">
        <v>240</v>
      </c>
      <c r="C227" s="63"/>
      <c r="D227" s="64" t="s">
        <v>381</v>
      </c>
      <c r="E227" s="64"/>
      <c r="F227" s="64"/>
    </row>
    <row r="228" spans="2:6" ht="12.75">
      <c r="B228" s="179" t="s">
        <v>191</v>
      </c>
      <c r="C228" s="63"/>
      <c r="D228" s="3" t="s">
        <v>382</v>
      </c>
      <c r="E228" s="64"/>
      <c r="F228" s="64"/>
    </row>
    <row r="229" spans="2:6" ht="12.75">
      <c r="B229" s="179" t="s">
        <v>355</v>
      </c>
      <c r="C229" s="65"/>
      <c r="D229" s="3" t="s">
        <v>356</v>
      </c>
      <c r="E229" s="64"/>
      <c r="F229" s="64"/>
    </row>
    <row r="232" ht="24.75" customHeight="1">
      <c r="D232" s="303"/>
    </row>
    <row r="233" spans="1:5" ht="12.75">
      <c r="A233" s="137"/>
      <c r="B233" s="137"/>
      <c r="C233" s="66"/>
      <c r="D233" s="66"/>
      <c r="E233" s="66"/>
    </row>
    <row r="234" spans="1:5" ht="25.5">
      <c r="A234" s="66"/>
      <c r="B234" s="66"/>
      <c r="C234" s="66"/>
      <c r="D234" s="303"/>
      <c r="E234" s="66"/>
    </row>
    <row r="235" spans="1:5" ht="12.75">
      <c r="A235" s="66"/>
      <c r="B235" s="66"/>
      <c r="C235" s="66"/>
      <c r="D235" s="66"/>
      <c r="E235" s="66"/>
    </row>
    <row r="236" spans="1:5" ht="12.75">
      <c r="A236" s="66"/>
      <c r="B236" s="66"/>
      <c r="C236" s="66"/>
      <c r="D236" s="66"/>
      <c r="E236" s="66"/>
    </row>
  </sheetData>
  <sheetProtection/>
  <mergeCells count="28">
    <mergeCell ref="C144:C145"/>
    <mergeCell ref="D144:D145"/>
    <mergeCell ref="E144:E145"/>
    <mergeCell ref="D65:D66"/>
    <mergeCell ref="E65:E66"/>
    <mergeCell ref="G144:G145"/>
    <mergeCell ref="F144:F145"/>
    <mergeCell ref="G65:G66"/>
    <mergeCell ref="G61:G62"/>
    <mergeCell ref="F63:F64"/>
    <mergeCell ref="B3:F3"/>
    <mergeCell ref="B4:F4"/>
    <mergeCell ref="A6:G6"/>
    <mergeCell ref="A8:G8"/>
    <mergeCell ref="D63:D64"/>
    <mergeCell ref="E63:E64"/>
    <mergeCell ref="G63:G64"/>
    <mergeCell ref="A63:A64"/>
    <mergeCell ref="A65:A66"/>
    <mergeCell ref="F65:F66"/>
    <mergeCell ref="A144:A145"/>
    <mergeCell ref="F12:G12"/>
    <mergeCell ref="A9:F9"/>
    <mergeCell ref="A10:F10"/>
    <mergeCell ref="D61:D62"/>
    <mergeCell ref="E61:E62"/>
    <mergeCell ref="F61:F62"/>
    <mergeCell ref="A61:A62"/>
  </mergeCells>
  <printOptions horizontalCentered="1"/>
  <pageMargins left="0.3937007874015748" right="0.1968503937007874" top="0.1968503937007874" bottom="0.3937007874015748" header="0.5118110236220472" footer="0.5118110236220472"/>
  <pageSetup horizontalDpi="300" verticalDpi="300" orientation="portrait" paperSize="9" scale="70" r:id="rId2"/>
  <rowBreaks count="3" manualBreakCount="3">
    <brk id="76" max="6" man="1"/>
    <brk id="141" max="6" man="1"/>
    <brk id="208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I65347"/>
  <sheetViews>
    <sheetView showGridLines="0" tabSelected="1" zoomScale="78" zoomScaleNormal="78" zoomScalePageLayoutView="0" workbookViewId="0" topLeftCell="B1">
      <selection activeCell="G24" sqref="G24"/>
    </sheetView>
  </sheetViews>
  <sheetFormatPr defaultColWidth="9.140625" defaultRowHeight="12.75"/>
  <cols>
    <col min="1" max="1" width="1.8515625" style="92" hidden="1" customWidth="1"/>
    <col min="2" max="2" width="6.28125" style="92" customWidth="1"/>
    <col min="3" max="3" width="50.7109375" style="92" customWidth="1"/>
    <col min="4" max="4" width="8.7109375" style="92" customWidth="1"/>
    <col min="5" max="5" width="6.57421875" style="92" customWidth="1"/>
    <col min="6" max="6" width="12.7109375" style="92" customWidth="1"/>
    <col min="7" max="12" width="15.7109375" style="92" customWidth="1"/>
    <col min="13" max="13" width="20.7109375" style="92" customWidth="1"/>
    <col min="14" max="14" width="1.421875" style="92" customWidth="1"/>
    <col min="15" max="15" width="11.57421875" style="92" bestFit="1" customWidth="1"/>
    <col min="16" max="16384" width="9.140625" style="92" customWidth="1"/>
  </cols>
  <sheetData>
    <row r="2" ht="13.5" thickBot="1"/>
    <row r="3" spans="2:13" ht="18" customHeight="1" thickTop="1">
      <c r="B3" s="93"/>
      <c r="C3" s="94"/>
      <c r="D3" s="95"/>
      <c r="E3" s="96"/>
      <c r="F3" s="95"/>
      <c r="G3" s="385" t="s">
        <v>208</v>
      </c>
      <c r="H3" s="386"/>
      <c r="I3" s="386"/>
      <c r="J3" s="386"/>
      <c r="K3" s="386"/>
      <c r="L3" s="386"/>
      <c r="M3" s="387"/>
    </row>
    <row r="4" spans="2:13" ht="18" customHeight="1">
      <c r="B4" s="97"/>
      <c r="C4" s="396" t="s">
        <v>0</v>
      </c>
      <c r="D4" s="396"/>
      <c r="E4" s="396"/>
      <c r="F4" s="396"/>
      <c r="G4" s="382" t="s">
        <v>368</v>
      </c>
      <c r="H4" s="383"/>
      <c r="I4" s="383"/>
      <c r="J4" s="383"/>
      <c r="K4" s="383"/>
      <c r="L4" s="383"/>
      <c r="M4" s="99"/>
    </row>
    <row r="5" spans="2:13" ht="18" customHeight="1">
      <c r="B5" s="97"/>
      <c r="C5" s="397" t="s">
        <v>1</v>
      </c>
      <c r="D5" s="397"/>
      <c r="E5" s="397"/>
      <c r="F5" s="397"/>
      <c r="G5" s="382" t="s">
        <v>485</v>
      </c>
      <c r="H5" s="383"/>
      <c r="I5" s="383"/>
      <c r="J5" s="383"/>
      <c r="K5" s="383"/>
      <c r="L5" s="383"/>
      <c r="M5" s="384"/>
    </row>
    <row r="6" spans="2:13" ht="18" customHeight="1" thickBot="1">
      <c r="B6" s="97"/>
      <c r="C6" s="100"/>
      <c r="D6" s="100"/>
      <c r="E6" s="100"/>
      <c r="F6" s="100"/>
      <c r="G6" s="389" t="s">
        <v>446</v>
      </c>
      <c r="H6" s="390"/>
      <c r="I6" s="390"/>
      <c r="J6" s="390"/>
      <c r="K6" s="390"/>
      <c r="L6" s="390"/>
      <c r="M6" s="391"/>
    </row>
    <row r="7" spans="2:19" ht="15" customHeight="1" thickTop="1">
      <c r="B7" s="104" t="s">
        <v>3</v>
      </c>
      <c r="C7" s="105" t="s">
        <v>365</v>
      </c>
      <c r="D7" s="106" t="s">
        <v>6</v>
      </c>
      <c r="E7" s="104" t="s">
        <v>192</v>
      </c>
      <c r="F7" s="106" t="s">
        <v>193</v>
      </c>
      <c r="G7" s="393" t="s">
        <v>194</v>
      </c>
      <c r="H7" s="393"/>
      <c r="I7" s="393"/>
      <c r="J7" s="393"/>
      <c r="K7" s="393"/>
      <c r="L7" s="393"/>
      <c r="M7" s="107" t="s">
        <v>9</v>
      </c>
      <c r="O7" s="388"/>
      <c r="P7" s="388"/>
      <c r="Q7" s="388"/>
      <c r="R7" s="388"/>
      <c r="S7" s="388"/>
    </row>
    <row r="8" spans="2:13" ht="15" customHeight="1" thickBot="1">
      <c r="B8" s="108"/>
      <c r="C8" s="109"/>
      <c r="D8" s="110"/>
      <c r="E8" s="111"/>
      <c r="F8" s="110" t="s">
        <v>195</v>
      </c>
      <c r="G8" s="394" t="s">
        <v>367</v>
      </c>
      <c r="H8" s="394"/>
      <c r="I8" s="394"/>
      <c r="J8" s="394"/>
      <c r="K8" s="394"/>
      <c r="L8" s="394"/>
      <c r="M8" s="112" t="s">
        <v>195</v>
      </c>
    </row>
    <row r="9" spans="2:13" ht="15" customHeight="1" thickTop="1">
      <c r="B9" s="113"/>
      <c r="C9" s="8" t="s">
        <v>196</v>
      </c>
      <c r="D9" s="114"/>
      <c r="E9" s="115"/>
      <c r="F9" s="240"/>
      <c r="G9" s="241" t="s">
        <v>197</v>
      </c>
      <c r="H9" s="116" t="s">
        <v>198</v>
      </c>
      <c r="I9" s="116" t="s">
        <v>199</v>
      </c>
      <c r="J9" s="116" t="s">
        <v>206</v>
      </c>
      <c r="K9" s="116" t="s">
        <v>207</v>
      </c>
      <c r="L9" s="116" t="s">
        <v>366</v>
      </c>
      <c r="M9" s="117"/>
    </row>
    <row r="10" spans="2:14" ht="19.5" customHeight="1">
      <c r="B10" s="250"/>
      <c r="C10" s="251" t="s">
        <v>447</v>
      </c>
      <c r="D10" s="252"/>
      <c r="E10" s="253"/>
      <c r="F10" s="254"/>
      <c r="G10" s="255"/>
      <c r="H10" s="256"/>
      <c r="I10" s="256"/>
      <c r="J10" s="256"/>
      <c r="K10" s="257"/>
      <c r="L10" s="257"/>
      <c r="M10" s="258"/>
      <c r="N10" s="97"/>
    </row>
    <row r="11" spans="2:14" ht="12.75" customHeight="1">
      <c r="B11" s="260">
        <v>1</v>
      </c>
      <c r="C11" s="45" t="s">
        <v>10</v>
      </c>
      <c r="D11" s="51">
        <v>1</v>
      </c>
      <c r="E11" s="48" t="s">
        <v>84</v>
      </c>
      <c r="F11" s="228">
        <f>orçamento!G21</f>
        <v>6395.7627999999995</v>
      </c>
      <c r="G11" s="242">
        <f>F11</f>
        <v>6395.7627999999995</v>
      </c>
      <c r="H11" s="214"/>
      <c r="I11" s="214"/>
      <c r="J11" s="214"/>
      <c r="K11" s="235"/>
      <c r="L11" s="235"/>
      <c r="M11" s="238">
        <f>SUM(G11:L11)</f>
        <v>6395.7627999999995</v>
      </c>
      <c r="N11" s="97"/>
    </row>
    <row r="12" spans="2:14" ht="5.25" customHeight="1">
      <c r="B12" s="260"/>
      <c r="C12" s="45"/>
      <c r="D12" s="51"/>
      <c r="E12" s="48"/>
      <c r="F12" s="229"/>
      <c r="G12" s="271"/>
      <c r="H12" s="215"/>
      <c r="I12" s="215"/>
      <c r="J12" s="215"/>
      <c r="K12" s="236"/>
      <c r="L12" s="236"/>
      <c r="M12" s="238"/>
      <c r="N12" s="97"/>
    </row>
    <row r="13" spans="2:14" ht="12.75" customHeight="1">
      <c r="B13" s="260">
        <v>2</v>
      </c>
      <c r="C13" s="45" t="s">
        <v>18</v>
      </c>
      <c r="D13" s="51">
        <v>1</v>
      </c>
      <c r="E13" s="48" t="s">
        <v>84</v>
      </c>
      <c r="F13" s="229">
        <f>orçamento!G30</f>
        <v>45147.95089</v>
      </c>
      <c r="G13" s="242">
        <f>F13</f>
        <v>45147.95089</v>
      </c>
      <c r="H13" s="214"/>
      <c r="I13" s="214"/>
      <c r="J13" s="214"/>
      <c r="K13" s="235"/>
      <c r="L13" s="235"/>
      <c r="M13" s="238">
        <f>SUM(G13:L13)</f>
        <v>45147.95089</v>
      </c>
      <c r="N13" s="97"/>
    </row>
    <row r="14" spans="2:14" ht="5.25" customHeight="1">
      <c r="B14" s="260"/>
      <c r="C14" s="45"/>
      <c r="D14" s="216"/>
      <c r="E14" s="217"/>
      <c r="F14" s="230"/>
      <c r="G14" s="272"/>
      <c r="H14" s="214"/>
      <c r="I14" s="214"/>
      <c r="J14" s="214"/>
      <c r="K14" s="235"/>
      <c r="L14" s="235"/>
      <c r="M14" s="238"/>
      <c r="N14" s="97"/>
    </row>
    <row r="15" spans="2:14" ht="12.75" customHeight="1">
      <c r="B15" s="260">
        <v>3</v>
      </c>
      <c r="C15" s="45" t="s">
        <v>29</v>
      </c>
      <c r="D15" s="216">
        <v>1</v>
      </c>
      <c r="E15" s="48" t="s">
        <v>84</v>
      </c>
      <c r="F15" s="229">
        <f>orçamento!G37</f>
        <v>69042.43310000001</v>
      </c>
      <c r="G15" s="244"/>
      <c r="H15" s="214">
        <f>(orçamento!G32*0.8)+orçamento!G33+orçamento!G34+orçamento!G35</f>
        <v>44616.6436</v>
      </c>
      <c r="I15" s="214">
        <f>F15-H15</f>
        <v>24425.789500000006</v>
      </c>
      <c r="J15" s="214"/>
      <c r="K15" s="235"/>
      <c r="L15" s="235"/>
      <c r="M15" s="238">
        <f>SUM(G15:L15)</f>
        <v>69042.43310000001</v>
      </c>
      <c r="N15" s="97"/>
    </row>
    <row r="16" spans="2:14" ht="5.25" customHeight="1">
      <c r="B16" s="260"/>
      <c r="C16" s="45"/>
      <c r="D16" s="216"/>
      <c r="E16" s="217"/>
      <c r="F16" s="230"/>
      <c r="G16" s="244"/>
      <c r="H16" s="273"/>
      <c r="I16" s="337"/>
      <c r="J16" s="214"/>
      <c r="K16" s="235"/>
      <c r="L16" s="235"/>
      <c r="M16" s="238"/>
      <c r="N16" s="97"/>
    </row>
    <row r="17" spans="2:14" ht="12.75" customHeight="1">
      <c r="B17" s="118">
        <v>4</v>
      </c>
      <c r="C17" s="68" t="s">
        <v>308</v>
      </c>
      <c r="D17" s="119"/>
      <c r="E17" s="120"/>
      <c r="F17" s="231"/>
      <c r="G17" s="245"/>
      <c r="H17" s="121"/>
      <c r="I17" s="121"/>
      <c r="J17" s="121"/>
      <c r="K17" s="193"/>
      <c r="L17" s="193"/>
      <c r="M17" s="195"/>
      <c r="N17" s="97"/>
    </row>
    <row r="18" spans="2:14" ht="12.75" customHeight="1">
      <c r="B18" s="261" t="s">
        <v>37</v>
      </c>
      <c r="C18" s="26" t="s">
        <v>309</v>
      </c>
      <c r="D18" s="14">
        <v>1</v>
      </c>
      <c r="E18" s="48" t="s">
        <v>84</v>
      </c>
      <c r="F18" s="232">
        <f>orçamento!G40+orçamento!G41+orçamento!G42+orçamento!G43+orçamento!G44</f>
        <v>12631.77</v>
      </c>
      <c r="G18" s="242"/>
      <c r="H18" s="214"/>
      <c r="I18" s="214"/>
      <c r="J18" s="214">
        <f>F18/2</f>
        <v>6315.885</v>
      </c>
      <c r="K18" s="235">
        <f>F18-J18</f>
        <v>6315.885</v>
      </c>
      <c r="L18" s="235"/>
      <c r="M18" s="238">
        <f>SUM(G18:L18)</f>
        <v>12631.77</v>
      </c>
      <c r="N18" s="97"/>
    </row>
    <row r="19" spans="2:14" ht="5.25" customHeight="1">
      <c r="B19" s="262"/>
      <c r="C19" s="26"/>
      <c r="D19" s="14"/>
      <c r="E19" s="15"/>
      <c r="F19" s="229"/>
      <c r="G19" s="243"/>
      <c r="H19" s="215"/>
      <c r="I19" s="215"/>
      <c r="J19" s="274"/>
      <c r="K19" s="275"/>
      <c r="L19" s="236"/>
      <c r="M19" s="238"/>
      <c r="N19" s="97"/>
    </row>
    <row r="20" spans="2:14" ht="12.75" customHeight="1">
      <c r="B20" s="261" t="s">
        <v>38</v>
      </c>
      <c r="C20" s="26" t="s">
        <v>310</v>
      </c>
      <c r="D20" s="14">
        <v>1</v>
      </c>
      <c r="E20" s="48" t="s">
        <v>84</v>
      </c>
      <c r="F20" s="232">
        <f>orçamento!G46+orçamento!G47+orçamento!G48</f>
        <v>3111.7771999999995</v>
      </c>
      <c r="G20" s="242"/>
      <c r="H20" s="214"/>
      <c r="I20" s="214"/>
      <c r="J20" s="214">
        <f>F20/2</f>
        <v>1555.8885999999998</v>
      </c>
      <c r="K20" s="235">
        <f>F20-J20</f>
        <v>1555.8885999999998</v>
      </c>
      <c r="L20" s="235"/>
      <c r="M20" s="238">
        <f>SUM(G20:L20)</f>
        <v>3111.7771999999995</v>
      </c>
      <c r="N20" s="97"/>
    </row>
    <row r="21" spans="2:14" ht="5.25" customHeight="1">
      <c r="B21" s="262"/>
      <c r="C21" s="26"/>
      <c r="D21" s="14"/>
      <c r="E21" s="15"/>
      <c r="F21" s="229"/>
      <c r="G21" s="246"/>
      <c r="H21" s="215"/>
      <c r="I21" s="215"/>
      <c r="J21" s="274"/>
      <c r="K21" s="275"/>
      <c r="L21" s="236"/>
      <c r="M21" s="238"/>
      <c r="N21" s="97"/>
    </row>
    <row r="22" spans="2:14" ht="12.75" customHeight="1">
      <c r="B22" s="261" t="s">
        <v>42</v>
      </c>
      <c r="C22" s="26" t="s">
        <v>311</v>
      </c>
      <c r="D22" s="14">
        <v>1</v>
      </c>
      <c r="E22" s="48" t="s">
        <v>84</v>
      </c>
      <c r="F22" s="232">
        <f>orçamento!G50+orçamento!G51+orçamento!G52+orçamento!G53+orçamento!G54+orçamento!G55+orçamento!G56+orçamento!G57</f>
        <v>12051.181199999999</v>
      </c>
      <c r="G22" s="242"/>
      <c r="H22" s="214"/>
      <c r="I22" s="214"/>
      <c r="J22" s="214">
        <f>F22/2</f>
        <v>6025.5905999999995</v>
      </c>
      <c r="K22" s="235">
        <f>F22/2</f>
        <v>6025.5905999999995</v>
      </c>
      <c r="L22" s="235"/>
      <c r="M22" s="238">
        <f>SUM(G22:L22)</f>
        <v>12051.181199999999</v>
      </c>
      <c r="N22" s="97"/>
    </row>
    <row r="23" spans="2:14" ht="5.25" customHeight="1">
      <c r="B23" s="262"/>
      <c r="C23" s="26"/>
      <c r="D23" s="14"/>
      <c r="E23" s="15"/>
      <c r="F23" s="229"/>
      <c r="G23" s="243"/>
      <c r="H23" s="215"/>
      <c r="I23" s="215"/>
      <c r="J23" s="340"/>
      <c r="K23" s="339"/>
      <c r="L23" s="236"/>
      <c r="M23" s="238"/>
      <c r="N23" s="97"/>
    </row>
    <row r="24" spans="2:14" ht="12.75" customHeight="1">
      <c r="B24" s="261">
        <v>5</v>
      </c>
      <c r="C24" s="26" t="s">
        <v>406</v>
      </c>
      <c r="D24" s="14">
        <v>1</v>
      </c>
      <c r="E24" s="48" t="s">
        <v>84</v>
      </c>
      <c r="F24" s="232">
        <f>orçamento!G67</f>
        <v>7966.7528</v>
      </c>
      <c r="G24" s="244"/>
      <c r="H24" s="214"/>
      <c r="I24" s="215"/>
      <c r="J24" s="215"/>
      <c r="K24" s="236"/>
      <c r="L24" s="235">
        <f>F24</f>
        <v>7966.7528</v>
      </c>
      <c r="M24" s="238">
        <f>SUM(G24:L24)</f>
        <v>7966.7528</v>
      </c>
      <c r="N24" s="97"/>
    </row>
    <row r="25" spans="2:14" ht="5.25" customHeight="1">
      <c r="B25" s="262"/>
      <c r="C25" s="26"/>
      <c r="D25" s="14"/>
      <c r="E25" s="15"/>
      <c r="F25" s="229"/>
      <c r="G25" s="244"/>
      <c r="H25" s="214"/>
      <c r="I25" s="215"/>
      <c r="J25" s="215"/>
      <c r="K25" s="236"/>
      <c r="L25" s="275"/>
      <c r="M25" s="238"/>
      <c r="N25" s="97"/>
    </row>
    <row r="26" spans="2:14" ht="12.75" customHeight="1">
      <c r="B26" s="260">
        <v>6</v>
      </c>
      <c r="C26" s="45" t="s">
        <v>45</v>
      </c>
      <c r="D26" s="51">
        <v>1</v>
      </c>
      <c r="E26" s="48" t="s">
        <v>84</v>
      </c>
      <c r="F26" s="229">
        <f>orçamento!G76</f>
        <v>36345.1411</v>
      </c>
      <c r="G26" s="243"/>
      <c r="H26" s="215"/>
      <c r="I26" s="215">
        <f>F26*0.7</f>
        <v>25441.59877</v>
      </c>
      <c r="J26" s="215">
        <f>F26*0.2</f>
        <v>7269.02822</v>
      </c>
      <c r="K26" s="236">
        <f>F26-I26-J26</f>
        <v>3634.51411</v>
      </c>
      <c r="L26" s="235"/>
      <c r="M26" s="238">
        <f>SUM(G26:L26)</f>
        <v>36345.1411</v>
      </c>
      <c r="N26" s="97"/>
    </row>
    <row r="27" spans="2:14" ht="5.25" customHeight="1">
      <c r="B27" s="263"/>
      <c r="C27" s="45"/>
      <c r="D27" s="51"/>
      <c r="E27" s="48"/>
      <c r="F27" s="229"/>
      <c r="G27" s="243"/>
      <c r="H27" s="215"/>
      <c r="I27" s="274"/>
      <c r="J27" s="340"/>
      <c r="K27" s="339"/>
      <c r="L27" s="236"/>
      <c r="M27" s="238"/>
      <c r="N27" s="97"/>
    </row>
    <row r="28" spans="2:14" ht="12.75" customHeight="1">
      <c r="B28" s="261">
        <v>7</v>
      </c>
      <c r="C28" s="26" t="s">
        <v>56</v>
      </c>
      <c r="D28" s="14">
        <v>1</v>
      </c>
      <c r="E28" s="48" t="s">
        <v>84</v>
      </c>
      <c r="F28" s="232">
        <f>orçamento!G84</f>
        <v>62721.8326</v>
      </c>
      <c r="G28" s="243"/>
      <c r="H28" s="215"/>
      <c r="I28" s="215">
        <f>F28/3</f>
        <v>20907.277533333334</v>
      </c>
      <c r="J28" s="215">
        <f>F28/3</f>
        <v>20907.277533333334</v>
      </c>
      <c r="K28" s="236">
        <f>F28/3</f>
        <v>20907.277533333334</v>
      </c>
      <c r="L28" s="236"/>
      <c r="M28" s="238">
        <f>SUM(G28:L28)</f>
        <v>62721.8326</v>
      </c>
      <c r="N28" s="97"/>
    </row>
    <row r="29" spans="2:14" ht="5.25" customHeight="1">
      <c r="B29" s="261"/>
      <c r="C29" s="218"/>
      <c r="D29" s="14"/>
      <c r="E29" s="15"/>
      <c r="F29" s="232"/>
      <c r="G29" s="243"/>
      <c r="H29" s="215"/>
      <c r="I29" s="274"/>
      <c r="J29" s="274"/>
      <c r="K29" s="275"/>
      <c r="L29" s="236"/>
      <c r="M29" s="238"/>
      <c r="N29" s="97"/>
    </row>
    <row r="30" spans="2:14" ht="12.75" customHeight="1">
      <c r="B30" s="261">
        <v>8</v>
      </c>
      <c r="C30" s="26" t="s">
        <v>62</v>
      </c>
      <c r="D30" s="14">
        <v>1</v>
      </c>
      <c r="E30" s="48" t="s">
        <v>84</v>
      </c>
      <c r="F30" s="232">
        <f>orçamento!G90</f>
        <v>22010.5064</v>
      </c>
      <c r="G30" s="243"/>
      <c r="H30" s="215"/>
      <c r="I30" s="215"/>
      <c r="J30" s="215"/>
      <c r="K30" s="236"/>
      <c r="L30" s="236">
        <f>F30</f>
        <v>22010.5064</v>
      </c>
      <c r="M30" s="238">
        <f>SUM(G30:L30)</f>
        <v>22010.5064</v>
      </c>
      <c r="N30" s="97"/>
    </row>
    <row r="31" spans="2:14" ht="5.25" customHeight="1">
      <c r="B31" s="262"/>
      <c r="C31" s="26"/>
      <c r="D31" s="14"/>
      <c r="E31" s="15"/>
      <c r="F31" s="229"/>
      <c r="G31" s="243"/>
      <c r="H31" s="215"/>
      <c r="I31" s="215"/>
      <c r="J31" s="215"/>
      <c r="K31" s="236"/>
      <c r="L31" s="275"/>
      <c r="M31" s="238"/>
      <c r="N31" s="97"/>
    </row>
    <row r="32" spans="2:14" ht="12.75" customHeight="1">
      <c r="B32" s="261">
        <v>9</v>
      </c>
      <c r="C32" s="218" t="s">
        <v>70</v>
      </c>
      <c r="D32" s="14">
        <v>1</v>
      </c>
      <c r="E32" s="48" t="s">
        <v>84</v>
      </c>
      <c r="F32" s="232">
        <f>orçamento!G97</f>
        <v>24620.7045</v>
      </c>
      <c r="G32" s="243"/>
      <c r="H32" s="215"/>
      <c r="I32" s="215">
        <f>F32*0.2</f>
        <v>4924.1409</v>
      </c>
      <c r="J32" s="215">
        <f>F32-I32</f>
        <v>19696.5636</v>
      </c>
      <c r="K32" s="236"/>
      <c r="L32" s="236"/>
      <c r="M32" s="238">
        <f>SUM(G32:L32)</f>
        <v>24620.7045</v>
      </c>
      <c r="N32" s="97"/>
    </row>
    <row r="33" spans="2:14" ht="5.25" customHeight="1">
      <c r="B33" s="262"/>
      <c r="C33" s="26"/>
      <c r="D33" s="14"/>
      <c r="E33" s="15"/>
      <c r="F33" s="229"/>
      <c r="G33" s="243"/>
      <c r="H33" s="215"/>
      <c r="I33" s="274"/>
      <c r="J33" s="274"/>
      <c r="K33" s="236"/>
      <c r="L33" s="236"/>
      <c r="M33" s="238"/>
      <c r="N33" s="97"/>
    </row>
    <row r="34" spans="2:14" ht="12.75" customHeight="1">
      <c r="B34" s="118">
        <v>10</v>
      </c>
      <c r="C34" s="259" t="s">
        <v>448</v>
      </c>
      <c r="D34" s="69"/>
      <c r="E34" s="70"/>
      <c r="F34" s="233"/>
      <c r="G34" s="247"/>
      <c r="H34" s="122"/>
      <c r="I34" s="122"/>
      <c r="J34" s="122"/>
      <c r="K34" s="194"/>
      <c r="L34" s="194"/>
      <c r="M34" s="195"/>
      <c r="N34" s="97"/>
    </row>
    <row r="35" spans="2:14" ht="12.75" customHeight="1">
      <c r="B35" s="261" t="s">
        <v>79</v>
      </c>
      <c r="C35" s="218" t="s">
        <v>80</v>
      </c>
      <c r="D35" s="14">
        <v>1</v>
      </c>
      <c r="E35" s="48" t="s">
        <v>84</v>
      </c>
      <c r="F35" s="232">
        <f>orçamento!G100+orçamento!G101+orçamento!G102+orçamento!G103+orçamento!G104+orçamento!G105+orçamento!G106+orçamento!G107+orçamento!G108+orçamento!G109+orçamento!G110+orçamento!G111+orçamento!G112</f>
        <v>4908.169999999999</v>
      </c>
      <c r="G35" s="243">
        <f>F35</f>
        <v>4908.169999999999</v>
      </c>
      <c r="H35" s="215"/>
      <c r="I35" s="215"/>
      <c r="J35" s="215"/>
      <c r="K35" s="236"/>
      <c r="L35" s="236"/>
      <c r="M35" s="238">
        <f>SUM(G35:L35)</f>
        <v>4908.169999999999</v>
      </c>
      <c r="N35" s="97"/>
    </row>
    <row r="36" spans="2:14" ht="5.25" customHeight="1">
      <c r="B36" s="261"/>
      <c r="C36" s="218"/>
      <c r="D36" s="14"/>
      <c r="E36" s="219"/>
      <c r="F36" s="232"/>
      <c r="G36" s="271"/>
      <c r="H36" s="215"/>
      <c r="I36" s="215"/>
      <c r="J36" s="215"/>
      <c r="K36" s="236"/>
      <c r="L36" s="236"/>
      <c r="M36" s="238"/>
      <c r="N36" s="97"/>
    </row>
    <row r="37" spans="2:15" ht="12.75" customHeight="1">
      <c r="B37" s="260" t="s">
        <v>110</v>
      </c>
      <c r="C37" s="220" t="s">
        <v>449</v>
      </c>
      <c r="D37" s="51">
        <v>1</v>
      </c>
      <c r="E37" s="48" t="s">
        <v>84</v>
      </c>
      <c r="F37" s="229">
        <f>orçamento!G114+orçamento!G115+orçamento!G116+orçamento!G117+orçamento!G118+orçamento!G119+orçamento!G120+orçamento!G121+orçamento!G122+orçamento!G123+orçamento!G124+orçamento!G125+orçamento!G126+orçamento!G127+orçamento!G128+orçamento!G129+orçamento!G130+orçamento!G131+orçamento!G132+orçamento!G133+orçamento!G134+orçamento!G135+orçamento!G136+orçamento!G137+orçamento!G138+orçamento!G139+orçamento!G140</f>
        <v>18651.900000000005</v>
      </c>
      <c r="G37" s="243"/>
      <c r="H37" s="215">
        <f>F37/5</f>
        <v>3730.380000000001</v>
      </c>
      <c r="I37" s="215">
        <f>F37/5</f>
        <v>3730.380000000001</v>
      </c>
      <c r="J37" s="215">
        <f>F37/5</f>
        <v>3730.380000000001</v>
      </c>
      <c r="K37" s="236">
        <f>F37/5</f>
        <v>3730.380000000001</v>
      </c>
      <c r="L37" s="236">
        <f>F37/5</f>
        <v>3730.380000000001</v>
      </c>
      <c r="M37" s="238">
        <f>SUM(G37:L37)</f>
        <v>18651.900000000005</v>
      </c>
      <c r="N37" s="97"/>
      <c r="O37" s="103"/>
    </row>
    <row r="38" spans="2:15" ht="5.25" customHeight="1">
      <c r="B38" s="263"/>
      <c r="C38" s="45"/>
      <c r="D38" s="51"/>
      <c r="E38" s="48"/>
      <c r="F38" s="229"/>
      <c r="G38" s="243"/>
      <c r="H38" s="340"/>
      <c r="I38" s="274"/>
      <c r="J38" s="274"/>
      <c r="K38" s="275"/>
      <c r="L38" s="275"/>
      <c r="M38" s="238"/>
      <c r="N38" s="97"/>
      <c r="O38" s="103"/>
    </row>
    <row r="39" spans="2:61" ht="12.75" customHeight="1">
      <c r="B39" s="118">
        <v>11</v>
      </c>
      <c r="C39" s="259" t="s">
        <v>219</v>
      </c>
      <c r="D39" s="69"/>
      <c r="E39" s="70"/>
      <c r="F39" s="233"/>
      <c r="G39" s="247"/>
      <c r="H39" s="122"/>
      <c r="I39" s="122"/>
      <c r="J39" s="122"/>
      <c r="K39" s="194"/>
      <c r="L39" s="194"/>
      <c r="M39" s="195"/>
      <c r="N39" s="97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</row>
    <row r="40" spans="2:61" s="198" customFormat="1" ht="12" customHeight="1">
      <c r="B40" s="263" t="s">
        <v>172</v>
      </c>
      <c r="C40" s="45" t="s">
        <v>450</v>
      </c>
      <c r="D40" s="51">
        <v>1</v>
      </c>
      <c r="E40" s="48" t="s">
        <v>84</v>
      </c>
      <c r="F40" s="229">
        <f>orçamento!G144+orçamento!G146+orçamento!G147+orçamento!G148+orçamento!G149+orçamento!G150+orçamento!G151+orçamento!G152+orçamento!G153+orçamento!G154+orçamento!G155+orçamento!G156+orçamento!G157+orçamento!G158</f>
        <v>20426.109999999997</v>
      </c>
      <c r="G40" s="243"/>
      <c r="H40" s="215">
        <f>F40/4</f>
        <v>5106.527499999999</v>
      </c>
      <c r="I40" s="215">
        <f>F40/4</f>
        <v>5106.527499999999</v>
      </c>
      <c r="J40" s="215">
        <f>F40/4</f>
        <v>5106.527499999999</v>
      </c>
      <c r="K40" s="236">
        <f>F40/4</f>
        <v>5106.527499999999</v>
      </c>
      <c r="L40" s="236"/>
      <c r="M40" s="238">
        <f>SUM(G40:L40)</f>
        <v>20426.109999999997</v>
      </c>
      <c r="N40" s="97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</row>
    <row r="41" spans="2:61" s="198" customFormat="1" ht="6" customHeight="1">
      <c r="B41" s="263"/>
      <c r="C41" s="45"/>
      <c r="D41" s="51"/>
      <c r="E41" s="48"/>
      <c r="F41" s="229"/>
      <c r="G41" s="243"/>
      <c r="H41" s="340"/>
      <c r="I41" s="276"/>
      <c r="J41" s="277"/>
      <c r="K41" s="278"/>
      <c r="L41" s="236"/>
      <c r="M41" s="238"/>
      <c r="N41" s="97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</row>
    <row r="42" spans="2:14" ht="12.75" customHeight="1">
      <c r="B42" s="260" t="s">
        <v>174</v>
      </c>
      <c r="C42" s="45" t="s">
        <v>339</v>
      </c>
      <c r="D42" s="51">
        <v>1</v>
      </c>
      <c r="E42" s="48" t="s">
        <v>84</v>
      </c>
      <c r="F42" s="229">
        <f>orçamento!G160+orçamento!G161+orçamento!G162+orçamento!G163+orçamento!G164+orçamento!G165+orçamento!G166+orçamento!G167+orçamento!G168</f>
        <v>13069.225</v>
      </c>
      <c r="G42" s="243"/>
      <c r="H42" s="215"/>
      <c r="I42" s="215"/>
      <c r="J42" s="215"/>
      <c r="K42" s="236">
        <f>F42</f>
        <v>13069.225</v>
      </c>
      <c r="L42" s="236"/>
      <c r="M42" s="238">
        <f>SUM(G42:L42)</f>
        <v>13069.225</v>
      </c>
      <c r="N42" s="97"/>
    </row>
    <row r="43" spans="2:14" ht="5.25" customHeight="1">
      <c r="B43" s="263"/>
      <c r="C43" s="45"/>
      <c r="D43" s="51"/>
      <c r="E43" s="48"/>
      <c r="F43" s="229"/>
      <c r="G43" s="243"/>
      <c r="H43" s="215"/>
      <c r="I43" s="215"/>
      <c r="J43" s="215"/>
      <c r="K43" s="275"/>
      <c r="L43" s="236"/>
      <c r="M43" s="238"/>
      <c r="N43" s="97"/>
    </row>
    <row r="44" spans="2:14" ht="12.75" customHeight="1">
      <c r="B44" s="260" t="s">
        <v>176</v>
      </c>
      <c r="C44" s="45" t="s">
        <v>281</v>
      </c>
      <c r="D44" s="51">
        <v>1</v>
      </c>
      <c r="E44" s="48" t="s">
        <v>84</v>
      </c>
      <c r="F44" s="229">
        <f>orçamento!G170+orçamento!G171+orçamento!G172+orçamento!G173+orçamento!G174+orçamento!G175</f>
        <v>7840.659999999999</v>
      </c>
      <c r="G44" s="243"/>
      <c r="H44" s="215"/>
      <c r="I44" s="215"/>
      <c r="J44" s="215"/>
      <c r="K44" s="236">
        <f>F44</f>
        <v>7840.659999999999</v>
      </c>
      <c r="L44" s="236"/>
      <c r="M44" s="238">
        <f>SUM(G44:L44)</f>
        <v>7840.659999999999</v>
      </c>
      <c r="N44" s="97"/>
    </row>
    <row r="45" spans="2:14" ht="5.25" customHeight="1">
      <c r="B45" s="263"/>
      <c r="C45" s="45"/>
      <c r="D45" s="51"/>
      <c r="E45" s="48"/>
      <c r="F45" s="229"/>
      <c r="G45" s="243"/>
      <c r="H45" s="215"/>
      <c r="I45" s="215"/>
      <c r="J45" s="215"/>
      <c r="K45" s="275"/>
      <c r="L45" s="236"/>
      <c r="M45" s="238"/>
      <c r="N45" s="97"/>
    </row>
    <row r="46" spans="2:14" ht="12.75" customHeight="1">
      <c r="B46" s="118">
        <v>12</v>
      </c>
      <c r="C46" s="68" t="s">
        <v>223</v>
      </c>
      <c r="D46" s="69"/>
      <c r="E46" s="70"/>
      <c r="F46" s="233"/>
      <c r="G46" s="247"/>
      <c r="H46" s="122"/>
      <c r="I46" s="122"/>
      <c r="J46" s="122"/>
      <c r="K46" s="194"/>
      <c r="L46" s="194"/>
      <c r="M46" s="195"/>
      <c r="N46" s="97"/>
    </row>
    <row r="47" spans="2:14" ht="12.75" customHeight="1">
      <c r="B47" s="260" t="s">
        <v>224</v>
      </c>
      <c r="C47" s="45" t="s">
        <v>476</v>
      </c>
      <c r="D47" s="51">
        <v>1</v>
      </c>
      <c r="E47" s="48" t="s">
        <v>84</v>
      </c>
      <c r="F47" s="229">
        <f>orçamento!G181</f>
        <v>694.056</v>
      </c>
      <c r="G47" s="243"/>
      <c r="H47" s="215"/>
      <c r="I47" s="215"/>
      <c r="J47" s="215"/>
      <c r="K47" s="236"/>
      <c r="L47" s="236">
        <f>F47</f>
        <v>694.056</v>
      </c>
      <c r="M47" s="238">
        <f>L47</f>
        <v>694.056</v>
      </c>
      <c r="N47" s="97"/>
    </row>
    <row r="48" spans="2:14" ht="4.5" customHeight="1">
      <c r="B48" s="260"/>
      <c r="C48" s="346"/>
      <c r="D48" s="51"/>
      <c r="E48" s="48"/>
      <c r="F48" s="229"/>
      <c r="G48" s="243"/>
      <c r="H48" s="215"/>
      <c r="I48" s="215"/>
      <c r="J48" s="215"/>
      <c r="K48" s="236"/>
      <c r="L48" s="275"/>
      <c r="M48" s="238"/>
      <c r="N48" s="97"/>
    </row>
    <row r="49" spans="2:14" ht="12.75" customHeight="1">
      <c r="B49" s="260" t="s">
        <v>225</v>
      </c>
      <c r="C49" s="45" t="s">
        <v>451</v>
      </c>
      <c r="D49" s="51">
        <v>1</v>
      </c>
      <c r="E49" s="48" t="s">
        <v>84</v>
      </c>
      <c r="F49" s="229">
        <f>orçamento!G190</f>
        <v>4544.2112</v>
      </c>
      <c r="G49" s="243"/>
      <c r="H49" s="215"/>
      <c r="I49" s="215"/>
      <c r="J49" s="215"/>
      <c r="K49" s="236">
        <f>F49</f>
        <v>4544.2112</v>
      </c>
      <c r="L49" s="236"/>
      <c r="M49" s="238">
        <f>SUM(G49:L49)</f>
        <v>4544.2112</v>
      </c>
      <c r="N49" s="97"/>
    </row>
    <row r="50" spans="2:14" ht="5.25" customHeight="1">
      <c r="B50" s="263"/>
      <c r="C50" s="45"/>
      <c r="D50" s="51"/>
      <c r="E50" s="48"/>
      <c r="F50" s="229"/>
      <c r="G50" s="243"/>
      <c r="H50" s="215"/>
      <c r="I50" s="215"/>
      <c r="J50" s="215"/>
      <c r="K50" s="275"/>
      <c r="L50" s="236"/>
      <c r="M50" s="238"/>
      <c r="N50" s="97"/>
    </row>
    <row r="51" spans="2:14" ht="12" customHeight="1">
      <c r="B51" s="260" t="s">
        <v>226</v>
      </c>
      <c r="C51" s="45" t="s">
        <v>420</v>
      </c>
      <c r="D51" s="47">
        <v>1</v>
      </c>
      <c r="E51" s="48" t="s">
        <v>84</v>
      </c>
      <c r="F51" s="228">
        <f>orçamento!G201</f>
        <v>8724.3936</v>
      </c>
      <c r="G51" s="248"/>
      <c r="H51" s="221"/>
      <c r="I51" s="221"/>
      <c r="J51" s="221"/>
      <c r="K51" s="236">
        <f>F51/2</f>
        <v>4362.1968</v>
      </c>
      <c r="L51" s="236">
        <f>F51/2</f>
        <v>4362.1968</v>
      </c>
      <c r="M51" s="238">
        <f>SUM(G51:L51)</f>
        <v>8724.3936</v>
      </c>
      <c r="N51" s="103"/>
    </row>
    <row r="52" spans="2:14" ht="4.5" customHeight="1">
      <c r="B52" s="260"/>
      <c r="C52" s="45"/>
      <c r="D52" s="47"/>
      <c r="E52" s="48"/>
      <c r="F52" s="228"/>
      <c r="G52" s="248"/>
      <c r="H52" s="221"/>
      <c r="I52" s="221"/>
      <c r="J52" s="221"/>
      <c r="K52" s="279"/>
      <c r="L52" s="341"/>
      <c r="M52" s="238"/>
      <c r="N52" s="103"/>
    </row>
    <row r="53" spans="2:14" ht="12.75" customHeight="1">
      <c r="B53" s="260" t="s">
        <v>227</v>
      </c>
      <c r="C53" s="222" t="s">
        <v>418</v>
      </c>
      <c r="D53" s="47">
        <v>1</v>
      </c>
      <c r="E53" s="48" t="s">
        <v>84</v>
      </c>
      <c r="F53" s="228">
        <f>orçamento!G208</f>
        <v>9422.051</v>
      </c>
      <c r="G53" s="243"/>
      <c r="H53" s="215"/>
      <c r="I53" s="215"/>
      <c r="J53" s="215"/>
      <c r="K53" s="236"/>
      <c r="L53" s="236">
        <f>F53</f>
        <v>9422.051</v>
      </c>
      <c r="M53" s="238">
        <f>SUM(G53:L53)</f>
        <v>9422.051</v>
      </c>
      <c r="N53" s="103"/>
    </row>
    <row r="54" spans="2:14" ht="5.25" customHeight="1">
      <c r="B54" s="260"/>
      <c r="C54" s="222"/>
      <c r="D54" s="47"/>
      <c r="E54" s="48"/>
      <c r="F54" s="228"/>
      <c r="G54" s="243"/>
      <c r="H54" s="215"/>
      <c r="I54" s="215"/>
      <c r="J54" s="215"/>
      <c r="K54" s="236"/>
      <c r="L54" s="339"/>
      <c r="M54" s="238"/>
      <c r="N54" s="103"/>
    </row>
    <row r="55" spans="2:14" ht="12.75" customHeight="1">
      <c r="B55" s="260" t="s">
        <v>430</v>
      </c>
      <c r="C55" s="222" t="s">
        <v>452</v>
      </c>
      <c r="D55" s="47">
        <v>1</v>
      </c>
      <c r="E55" s="48" t="s">
        <v>84</v>
      </c>
      <c r="F55" s="228">
        <f>orçamento!G212</f>
        <v>3316.7112</v>
      </c>
      <c r="G55" s="243"/>
      <c r="H55" s="215"/>
      <c r="I55" s="215"/>
      <c r="J55" s="215"/>
      <c r="K55" s="236"/>
      <c r="L55" s="236">
        <f>F55</f>
        <v>3316.7112</v>
      </c>
      <c r="M55" s="238">
        <f>SUM(G55:L55)</f>
        <v>3316.7112</v>
      </c>
      <c r="N55" s="103"/>
    </row>
    <row r="56" spans="2:14" ht="5.25" customHeight="1">
      <c r="B56" s="329"/>
      <c r="C56" s="330"/>
      <c r="D56" s="206"/>
      <c r="E56" s="124"/>
      <c r="F56" s="331"/>
      <c r="G56" s="332"/>
      <c r="H56" s="333"/>
      <c r="I56" s="333"/>
      <c r="J56" s="333"/>
      <c r="K56" s="334"/>
      <c r="L56" s="338"/>
      <c r="M56" s="335"/>
      <c r="N56" s="103"/>
    </row>
    <row r="57" spans="2:14" ht="12.75" customHeight="1">
      <c r="B57" s="329" t="s">
        <v>471</v>
      </c>
      <c r="C57" s="330" t="s">
        <v>278</v>
      </c>
      <c r="D57" s="47">
        <v>1</v>
      </c>
      <c r="E57" s="48" t="s">
        <v>84</v>
      </c>
      <c r="F57" s="228">
        <f>orçamento!G216</f>
        <v>2318.2346</v>
      </c>
      <c r="G57" s="332"/>
      <c r="H57" s="333"/>
      <c r="I57" s="333"/>
      <c r="J57" s="333"/>
      <c r="K57" s="334"/>
      <c r="L57" s="334">
        <f>F57</f>
        <v>2318.2346</v>
      </c>
      <c r="M57" s="238">
        <f>SUM(G57:L57)</f>
        <v>2318.2346</v>
      </c>
      <c r="N57" s="103"/>
    </row>
    <row r="58" spans="2:14" ht="5.25" customHeight="1" thickBot="1">
      <c r="B58" s="223"/>
      <c r="C58" s="224"/>
      <c r="D58" s="225"/>
      <c r="E58" s="226"/>
      <c r="F58" s="234"/>
      <c r="G58" s="249"/>
      <c r="H58" s="227"/>
      <c r="I58" s="227"/>
      <c r="J58" s="227"/>
      <c r="K58" s="237"/>
      <c r="L58" s="280"/>
      <c r="M58" s="239"/>
      <c r="N58" s="103"/>
    </row>
    <row r="59" spans="2:15" ht="19.5" customHeight="1" thickBot="1" thickTop="1">
      <c r="B59" s="380" t="s">
        <v>453</v>
      </c>
      <c r="C59" s="376"/>
      <c r="D59" s="376"/>
      <c r="E59" s="381"/>
      <c r="F59" s="135">
        <f>SUM(F11:F58)</f>
        <v>395961.53518999997</v>
      </c>
      <c r="G59" s="125">
        <f aca="true" t="shared" si="0" ref="G59:M59">SUM(G11:G58)</f>
        <v>56451.883689999995</v>
      </c>
      <c r="H59" s="125">
        <f t="shared" si="0"/>
        <v>53453.5511</v>
      </c>
      <c r="I59" s="125">
        <f t="shared" si="0"/>
        <v>84535.71420333334</v>
      </c>
      <c r="J59" s="125">
        <f t="shared" si="0"/>
        <v>70607.14105333333</v>
      </c>
      <c r="K59" s="125">
        <f t="shared" si="0"/>
        <v>77092.35634333333</v>
      </c>
      <c r="L59" s="125">
        <f t="shared" si="0"/>
        <v>53820.8888</v>
      </c>
      <c r="M59" s="125">
        <f t="shared" si="0"/>
        <v>395961.53518999997</v>
      </c>
      <c r="O59" s="342"/>
    </row>
    <row r="60" spans="2:13" ht="19.5" customHeight="1" thickBot="1" thickTop="1">
      <c r="B60" s="380" t="s">
        <v>480</v>
      </c>
      <c r="C60" s="376"/>
      <c r="D60" s="376"/>
      <c r="E60" s="381"/>
      <c r="F60" s="135">
        <f aca="true" t="shared" si="1" ref="F60:L60">F59*0.085</f>
        <v>33656.730491149996</v>
      </c>
      <c r="G60" s="125">
        <f t="shared" si="1"/>
        <v>4798.41011365</v>
      </c>
      <c r="H60" s="125">
        <f t="shared" si="1"/>
        <v>4543.5518435</v>
      </c>
      <c r="I60" s="125">
        <f t="shared" si="1"/>
        <v>7185.535707283334</v>
      </c>
      <c r="J60" s="125">
        <f t="shared" si="1"/>
        <v>6001.606989533333</v>
      </c>
      <c r="K60" s="125">
        <f t="shared" si="1"/>
        <v>6552.850289183334</v>
      </c>
      <c r="L60" s="125">
        <f t="shared" si="1"/>
        <v>4574.7755480000005</v>
      </c>
      <c r="M60" s="125">
        <f>SUM(G60:L60)</f>
        <v>33656.73049115</v>
      </c>
    </row>
    <row r="61" spans="2:13" ht="19.5" customHeight="1" thickBot="1" thickTop="1">
      <c r="B61" s="380" t="s">
        <v>481</v>
      </c>
      <c r="C61" s="376"/>
      <c r="D61" s="376"/>
      <c r="E61" s="381"/>
      <c r="F61" s="135">
        <f>SUM(F59:F60)</f>
        <v>429618.26568114996</v>
      </c>
      <c r="G61" s="125">
        <f aca="true" t="shared" si="2" ref="G61:M61">SUM(G59:G60)</f>
        <v>61250.29380365</v>
      </c>
      <c r="H61" s="125">
        <f t="shared" si="2"/>
        <v>57997.102943499995</v>
      </c>
      <c r="I61" s="125">
        <f t="shared" si="2"/>
        <v>91721.24991061667</v>
      </c>
      <c r="J61" s="125">
        <f t="shared" si="2"/>
        <v>76608.74804286666</v>
      </c>
      <c r="K61" s="125">
        <f t="shared" si="2"/>
        <v>83645.20663251667</v>
      </c>
      <c r="L61" s="125">
        <f t="shared" si="2"/>
        <v>58395.664348</v>
      </c>
      <c r="M61" s="125">
        <f t="shared" si="2"/>
        <v>429618.26568114996</v>
      </c>
    </row>
    <row r="62" spans="2:13" ht="24.75" customHeight="1" thickBot="1" thickTop="1">
      <c r="B62" s="126"/>
      <c r="C62" s="376" t="s">
        <v>201</v>
      </c>
      <c r="D62" s="376"/>
      <c r="E62" s="376"/>
      <c r="F62" s="127"/>
      <c r="G62" s="377">
        <f>SUM(G61:L61)</f>
        <v>429618.26568114996</v>
      </c>
      <c r="H62" s="378"/>
      <c r="I62" s="378"/>
      <c r="J62" s="378"/>
      <c r="K62" s="378"/>
      <c r="L62" s="379"/>
      <c r="M62" s="128">
        <f>F61</f>
        <v>429618.26568114996</v>
      </c>
    </row>
    <row r="63" ht="15" customHeight="1" thickTop="1"/>
    <row r="64" ht="15" customHeight="1"/>
    <row r="65" spans="3:14" ht="15" customHeight="1" thickBot="1">
      <c r="C65"/>
      <c r="F65" s="103"/>
      <c r="G65" s="103"/>
      <c r="H65" s="131"/>
      <c r="I65" s="131"/>
      <c r="J65" s="131"/>
      <c r="K65" s="131"/>
      <c r="L65" s="131"/>
      <c r="M65" s="103"/>
      <c r="N65" s="103"/>
    </row>
    <row r="66" spans="3:14" ht="12.75">
      <c r="C66" s="264" t="s">
        <v>240</v>
      </c>
      <c r="D66" s="265"/>
      <c r="E66" s="265"/>
      <c r="F66" s="266"/>
      <c r="G66" s="266"/>
      <c r="H66" s="336" t="s">
        <v>381</v>
      </c>
      <c r="I66" s="64"/>
      <c r="J66" s="64"/>
      <c r="K66" s="64"/>
      <c r="L66" s="64"/>
      <c r="M66" s="395"/>
      <c r="N66" s="395"/>
    </row>
    <row r="67" spans="3:14" ht="12.75">
      <c r="C67" s="267" t="s">
        <v>191</v>
      </c>
      <c r="D67" s="265"/>
      <c r="E67" s="265"/>
      <c r="F67" s="268"/>
      <c r="G67" s="268"/>
      <c r="H67" s="265" t="s">
        <v>382</v>
      </c>
      <c r="I67" s="3"/>
      <c r="J67" s="3"/>
      <c r="K67" s="3"/>
      <c r="L67" s="3"/>
      <c r="M67" s="392"/>
      <c r="N67" s="392"/>
    </row>
    <row r="68" spans="2:12" ht="12.75">
      <c r="B68" s="103"/>
      <c r="C68" s="267" t="s">
        <v>355</v>
      </c>
      <c r="D68" s="269"/>
      <c r="E68" s="269"/>
      <c r="F68" s="269"/>
      <c r="G68" s="270"/>
      <c r="H68" s="265" t="s">
        <v>356</v>
      </c>
      <c r="I68" s="3"/>
      <c r="J68" s="3"/>
      <c r="K68" s="3"/>
      <c r="L68" s="3"/>
    </row>
    <row r="69" spans="2:7" ht="15.75">
      <c r="B69" s="103"/>
      <c r="C69" s="133"/>
      <c r="D69" s="132"/>
      <c r="E69" s="132"/>
      <c r="F69" s="132"/>
      <c r="G69" s="103"/>
    </row>
    <row r="70" spans="2:11" ht="12.75">
      <c r="B70" s="103"/>
      <c r="C70"/>
      <c r="D70"/>
      <c r="E70"/>
      <c r="F70"/>
      <c r="G70"/>
      <c r="H70"/>
      <c r="I70"/>
      <c r="J70"/>
      <c r="K70"/>
    </row>
    <row r="71" spans="2:11" ht="12.75">
      <c r="B71" s="103"/>
      <c r="C71"/>
      <c r="D71"/>
      <c r="E71"/>
      <c r="F71"/>
      <c r="G71"/>
      <c r="H71"/>
      <c r="I71"/>
      <c r="J71"/>
      <c r="K71"/>
    </row>
    <row r="72" spans="2:11" ht="12.75">
      <c r="B72" s="103"/>
      <c r="C72"/>
      <c r="D72"/>
      <c r="E72"/>
      <c r="F72"/>
      <c r="G72"/>
      <c r="H72"/>
      <c r="I72"/>
      <c r="J72"/>
      <c r="K72"/>
    </row>
    <row r="73" spans="2:11" ht="12.75">
      <c r="B73" s="103"/>
      <c r="C73"/>
      <c r="D73"/>
      <c r="E73"/>
      <c r="F73"/>
      <c r="G73"/>
      <c r="H73"/>
      <c r="I73"/>
      <c r="J73"/>
      <c r="K73"/>
    </row>
    <row r="74" spans="2:11" ht="12.75">
      <c r="B74" s="103"/>
      <c r="C74"/>
      <c r="D74"/>
      <c r="E74"/>
      <c r="F74"/>
      <c r="G74"/>
      <c r="H74"/>
      <c r="I74"/>
      <c r="J74"/>
      <c r="K74"/>
    </row>
    <row r="75" spans="2:11" ht="12.75">
      <c r="B75" s="103"/>
      <c r="C75"/>
      <c r="D75"/>
      <c r="E75"/>
      <c r="F75"/>
      <c r="G75"/>
      <c r="H75"/>
      <c r="I75"/>
      <c r="J75"/>
      <c r="K75"/>
    </row>
    <row r="76" spans="2:11" ht="12.75">
      <c r="B76" s="103"/>
      <c r="C76"/>
      <c r="D76"/>
      <c r="E76"/>
      <c r="F76"/>
      <c r="G76"/>
      <c r="H76"/>
      <c r="I76"/>
      <c r="J76"/>
      <c r="K76"/>
    </row>
    <row r="77" spans="2:11" ht="12.75">
      <c r="B77" s="103"/>
      <c r="C77"/>
      <c r="D77"/>
      <c r="E77"/>
      <c r="F77"/>
      <c r="G77"/>
      <c r="H77"/>
      <c r="I77"/>
      <c r="J77"/>
      <c r="K77"/>
    </row>
    <row r="78" spans="2:11" ht="18.75">
      <c r="B78" s="134"/>
      <c r="C78"/>
      <c r="D78"/>
      <c r="E78"/>
      <c r="F78"/>
      <c r="G78"/>
      <c r="H78"/>
      <c r="I78"/>
      <c r="J78"/>
      <c r="K78"/>
    </row>
    <row r="79" spans="3:11" ht="12.75">
      <c r="C79"/>
      <c r="D79"/>
      <c r="E79"/>
      <c r="F79"/>
      <c r="G79"/>
      <c r="H79"/>
      <c r="I79"/>
      <c r="J79"/>
      <c r="K79"/>
    </row>
    <row r="65347" ht="12.75">
      <c r="E65347" s="92" t="s">
        <v>205</v>
      </c>
    </row>
  </sheetData>
  <sheetProtection/>
  <mergeCells count="16">
    <mergeCell ref="O7:S7"/>
    <mergeCell ref="G6:M6"/>
    <mergeCell ref="G4:L4"/>
    <mergeCell ref="B59:E59"/>
    <mergeCell ref="M67:N67"/>
    <mergeCell ref="G7:L7"/>
    <mergeCell ref="G8:L8"/>
    <mergeCell ref="M66:N66"/>
    <mergeCell ref="C4:F4"/>
    <mergeCell ref="C5:F5"/>
    <mergeCell ref="C62:E62"/>
    <mergeCell ref="G62:L62"/>
    <mergeCell ref="B60:E60"/>
    <mergeCell ref="B61:E61"/>
    <mergeCell ref="G5:M5"/>
    <mergeCell ref="G3:M3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103"/>
  <sheetViews>
    <sheetView showGridLines="0" zoomScale="75" zoomScaleNormal="75" zoomScaleSheetLayoutView="75" zoomScalePageLayoutView="0" workbookViewId="0" topLeftCell="C1">
      <selection activeCell="G25" sqref="G25"/>
    </sheetView>
  </sheetViews>
  <sheetFormatPr defaultColWidth="9.140625" defaultRowHeight="12.75"/>
  <cols>
    <col min="1" max="1" width="1.7109375" style="92" customWidth="1"/>
    <col min="2" max="2" width="6.28125" style="92" customWidth="1"/>
    <col min="3" max="6" width="17.7109375" style="92" customWidth="1"/>
    <col min="7" max="12" width="15.7109375" style="92" customWidth="1"/>
    <col min="13" max="13" width="17.7109375" style="92" customWidth="1"/>
    <col min="14" max="14" width="1.421875" style="92" customWidth="1"/>
    <col min="15" max="16384" width="9.140625" style="92" customWidth="1"/>
  </cols>
  <sheetData>
    <row r="2" spans="2:13" ht="13.5" thickBot="1"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2:13" ht="19.5" customHeight="1" thickTop="1">
      <c r="B3" s="93"/>
      <c r="C3" s="94"/>
      <c r="D3" s="95"/>
      <c r="E3" s="96"/>
      <c r="F3" s="95"/>
      <c r="G3" s="385" t="s">
        <v>202</v>
      </c>
      <c r="H3" s="386"/>
      <c r="I3" s="386"/>
      <c r="J3" s="386"/>
      <c r="K3" s="386"/>
      <c r="L3" s="386"/>
      <c r="M3" s="387"/>
    </row>
    <row r="4" spans="2:13" ht="19.5" customHeight="1">
      <c r="B4" s="97"/>
      <c r="C4" s="396" t="s">
        <v>0</v>
      </c>
      <c r="D4" s="396"/>
      <c r="E4" s="396"/>
      <c r="F4" s="396"/>
      <c r="G4" s="382" t="s">
        <v>368</v>
      </c>
      <c r="H4" s="383"/>
      <c r="I4" s="383"/>
      <c r="J4" s="383"/>
      <c r="K4" s="383"/>
      <c r="L4" s="383"/>
      <c r="M4" s="99"/>
    </row>
    <row r="5" spans="2:13" ht="19.5" customHeight="1">
      <c r="B5" s="97"/>
      <c r="C5" s="397" t="s">
        <v>1</v>
      </c>
      <c r="D5" s="397"/>
      <c r="E5" s="397"/>
      <c r="F5" s="397"/>
      <c r="G5" s="382" t="s">
        <v>445</v>
      </c>
      <c r="H5" s="383"/>
      <c r="I5" s="383"/>
      <c r="J5" s="383"/>
      <c r="K5" s="383"/>
      <c r="L5" s="383"/>
      <c r="M5" s="384"/>
    </row>
    <row r="6" spans="2:13" ht="19.5" customHeight="1">
      <c r="B6" s="97"/>
      <c r="C6" s="100"/>
      <c r="D6" s="100"/>
      <c r="E6" s="100"/>
      <c r="F6" s="100"/>
      <c r="G6" s="389" t="s">
        <v>457</v>
      </c>
      <c r="H6" s="390"/>
      <c r="I6" s="390"/>
      <c r="J6" s="390"/>
      <c r="K6" s="390"/>
      <c r="L6" s="390"/>
      <c r="M6" s="391"/>
    </row>
    <row r="7" spans="2:19" ht="19.5" customHeight="1" thickBot="1">
      <c r="B7" s="97"/>
      <c r="C7" s="101"/>
      <c r="D7" s="102"/>
      <c r="E7" s="98"/>
      <c r="F7" s="102"/>
      <c r="G7" s="406" t="s">
        <v>482</v>
      </c>
      <c r="H7" s="407"/>
      <c r="I7" s="407"/>
      <c r="J7" s="407"/>
      <c r="K7" s="407"/>
      <c r="L7" s="407"/>
      <c r="M7" s="168"/>
      <c r="O7" s="103"/>
      <c r="P7" s="103"/>
      <c r="Q7" s="103"/>
      <c r="R7" s="103"/>
      <c r="S7" s="103"/>
    </row>
    <row r="8" spans="2:19" ht="15" thickTop="1">
      <c r="B8" s="150"/>
      <c r="C8" s="105"/>
      <c r="D8" s="154"/>
      <c r="E8" s="155"/>
      <c r="F8" s="152"/>
      <c r="G8" s="393" t="s">
        <v>194</v>
      </c>
      <c r="H8" s="393"/>
      <c r="I8" s="393"/>
      <c r="J8" s="393"/>
      <c r="K8" s="393"/>
      <c r="L8" s="393"/>
      <c r="M8" s="107" t="s">
        <v>9</v>
      </c>
      <c r="O8" s="388"/>
      <c r="P8" s="388"/>
      <c r="Q8" s="388"/>
      <c r="R8" s="388"/>
      <c r="S8" s="388"/>
    </row>
    <row r="9" spans="2:13" ht="16.5" thickBot="1">
      <c r="B9" s="156"/>
      <c r="C9" s="169" t="s">
        <v>447</v>
      </c>
      <c r="D9" s="157"/>
      <c r="E9" s="158"/>
      <c r="F9" s="153"/>
      <c r="G9" s="394" t="s">
        <v>367</v>
      </c>
      <c r="H9" s="394"/>
      <c r="I9" s="394"/>
      <c r="J9" s="394"/>
      <c r="K9" s="394"/>
      <c r="L9" s="394"/>
      <c r="M9" s="112" t="s">
        <v>195</v>
      </c>
    </row>
    <row r="10" spans="2:13" ht="24.75" customHeight="1" thickBot="1" thickTop="1">
      <c r="B10" s="159"/>
      <c r="C10" s="160"/>
      <c r="D10" s="161"/>
      <c r="E10" s="162"/>
      <c r="F10" s="163"/>
      <c r="G10" s="164" t="s">
        <v>197</v>
      </c>
      <c r="H10" s="165" t="s">
        <v>198</v>
      </c>
      <c r="I10" s="165" t="s">
        <v>199</v>
      </c>
      <c r="J10" s="165" t="s">
        <v>206</v>
      </c>
      <c r="K10" s="165" t="s">
        <v>207</v>
      </c>
      <c r="L10" s="165" t="s">
        <v>366</v>
      </c>
      <c r="M10" s="166"/>
    </row>
    <row r="11" spans="2:14" ht="34.5" customHeight="1" thickTop="1">
      <c r="B11" s="148"/>
      <c r="C11" s="398" t="s">
        <v>221</v>
      </c>
      <c r="D11" s="399"/>
      <c r="E11" s="399"/>
      <c r="F11" s="400"/>
      <c r="G11" s="173">
        <f aca="true" t="shared" si="0" ref="G11:L11">G13*0.949680292</f>
        <v>58168.196904536126</v>
      </c>
      <c r="H11" s="173">
        <f t="shared" si="0"/>
        <v>55078.70565853714</v>
      </c>
      <c r="I11" s="173">
        <f t="shared" si="0"/>
        <v>87105.86339771941</v>
      </c>
      <c r="J11" s="173">
        <f t="shared" si="0"/>
        <v>72753.81821110404</v>
      </c>
      <c r="K11" s="173">
        <f t="shared" si="0"/>
        <v>79436.20425916876</v>
      </c>
      <c r="L11" s="173">
        <f t="shared" si="0"/>
        <v>55457.21156954263</v>
      </c>
      <c r="M11" s="175">
        <f>SUM(G11:L11)</f>
        <v>408000.0000006081</v>
      </c>
      <c r="N11" s="130"/>
    </row>
    <row r="12" spans="2:13" ht="34.5" customHeight="1" thickBot="1">
      <c r="B12" s="149"/>
      <c r="C12" s="403" t="s">
        <v>203</v>
      </c>
      <c r="D12" s="404"/>
      <c r="E12" s="404"/>
      <c r="F12" s="405"/>
      <c r="G12" s="174">
        <f aca="true" t="shared" si="1" ref="G12:L12">G13-G11</f>
        <v>3082.0968991138725</v>
      </c>
      <c r="H12" s="174">
        <f t="shared" si="1"/>
        <v>2918.3972849628553</v>
      </c>
      <c r="I12" s="174">
        <f t="shared" si="1"/>
        <v>4615.386512897254</v>
      </c>
      <c r="J12" s="174">
        <f t="shared" si="1"/>
        <v>3854.9298317626235</v>
      </c>
      <c r="K12" s="174">
        <f t="shared" si="1"/>
        <v>4209.002373347903</v>
      </c>
      <c r="L12" s="174">
        <f t="shared" si="1"/>
        <v>2938.4527784573656</v>
      </c>
      <c r="M12" s="176">
        <f>SUM(G12:L12)</f>
        <v>21618.265680541874</v>
      </c>
    </row>
    <row r="13" spans="2:14" ht="34.5" customHeight="1" thickBot="1" thickTop="1">
      <c r="B13" s="129"/>
      <c r="C13" s="401" t="s">
        <v>204</v>
      </c>
      <c r="D13" s="401"/>
      <c r="E13" s="401"/>
      <c r="F13" s="402"/>
      <c r="G13" s="151">
        <f>cronograma!G61</f>
        <v>61250.29380365</v>
      </c>
      <c r="H13" s="151">
        <f>cronograma!H61</f>
        <v>57997.102943499995</v>
      </c>
      <c r="I13" s="151">
        <f>cronograma!I61</f>
        <v>91721.24991061667</v>
      </c>
      <c r="J13" s="151">
        <f>cronograma!J61</f>
        <v>76608.74804286666</v>
      </c>
      <c r="K13" s="151">
        <f>cronograma!K61</f>
        <v>83645.20663251667</v>
      </c>
      <c r="L13" s="151">
        <f>cronograma!L61</f>
        <v>58395.664348</v>
      </c>
      <c r="M13" s="151">
        <f>SUM(M11:M12)</f>
        <v>429618.26568114996</v>
      </c>
      <c r="N13" s="130"/>
    </row>
    <row r="14" ht="5.25" customHeight="1" thickTop="1"/>
    <row r="15" ht="12.75" customHeight="1"/>
    <row r="16" ht="5.25" customHeight="1"/>
    <row r="17" ht="5.25" customHeight="1"/>
    <row r="18" ht="12.75" customHeight="1"/>
    <row r="19" spans="6:9" ht="5.25" customHeight="1">
      <c r="F19" s="196"/>
      <c r="G19" s="196"/>
      <c r="H19" s="196"/>
      <c r="I19" s="196"/>
    </row>
    <row r="20" spans="6:9" ht="12.75" customHeight="1">
      <c r="F20" s="196"/>
      <c r="G20" s="196"/>
      <c r="H20" s="196"/>
      <c r="I20" s="196"/>
    </row>
    <row r="21" spans="3:14" ht="5.25" customHeight="1">
      <c r="C21" s="103"/>
      <c r="D21" s="103"/>
      <c r="F21" s="197"/>
      <c r="G21" s="197"/>
      <c r="H21" s="197"/>
      <c r="I21" s="197"/>
      <c r="J21" s="103"/>
      <c r="K21" s="103"/>
      <c r="L21" s="103"/>
      <c r="M21" s="103"/>
      <c r="N21" s="103"/>
    </row>
    <row r="22" spans="2:14" ht="15" customHeight="1" thickBot="1">
      <c r="B22" s="66"/>
      <c r="C22" s="62"/>
      <c r="D22" s="282"/>
      <c r="E22" s="131"/>
      <c r="F22" s="103"/>
      <c r="G22" s="98"/>
      <c r="H22" s="98"/>
      <c r="I22" s="282"/>
      <c r="J22" s="282"/>
      <c r="K22" s="282"/>
      <c r="L22" s="172"/>
      <c r="M22" s="172"/>
      <c r="N22" s="172"/>
    </row>
    <row r="23" spans="2:14" ht="12.75" customHeight="1">
      <c r="B23" s="281"/>
      <c r="C23" s="281" t="s">
        <v>240</v>
      </c>
      <c r="D23" s="1"/>
      <c r="G23" s="1"/>
      <c r="H23" s="1"/>
      <c r="I23" s="336" t="s">
        <v>381</v>
      </c>
      <c r="J23" s="336"/>
      <c r="K23" s="336"/>
      <c r="L23" s="336"/>
      <c r="M23" s="336"/>
      <c r="N23" s="171"/>
    </row>
    <row r="24" spans="2:13" ht="12.75">
      <c r="B24" s="267"/>
      <c r="C24" s="267" t="s">
        <v>191</v>
      </c>
      <c r="I24" s="265" t="s">
        <v>382</v>
      </c>
      <c r="J24" s="265"/>
      <c r="K24" s="265"/>
      <c r="L24" s="265"/>
      <c r="M24" s="265"/>
    </row>
    <row r="25" spans="2:13" ht="12.75">
      <c r="B25" s="267"/>
      <c r="C25" s="267" t="s">
        <v>355</v>
      </c>
      <c r="I25" s="265" t="s">
        <v>356</v>
      </c>
      <c r="J25" s="265"/>
      <c r="K25" s="265"/>
      <c r="L25" s="265"/>
      <c r="M25" s="265"/>
    </row>
    <row r="29" ht="19.5" customHeight="1">
      <c r="C29" s="167"/>
    </row>
    <row r="30" spans="3:7" ht="19.5" customHeight="1">
      <c r="C30" s="167" t="s">
        <v>369</v>
      </c>
      <c r="D30" s="283">
        <v>408000</v>
      </c>
      <c r="E30" s="92">
        <f>D30/M13</f>
        <v>0.9496802919985846</v>
      </c>
      <c r="G30" s="284"/>
    </row>
    <row r="31" spans="3:5" ht="25.5">
      <c r="C31" s="167" t="s">
        <v>370</v>
      </c>
      <c r="D31" s="283">
        <f>M13-D30</f>
        <v>21618.265681149962</v>
      </c>
      <c r="E31" s="92">
        <f>D31/M13</f>
        <v>0.050319708001415386</v>
      </c>
    </row>
    <row r="103" ht="12.75">
      <c r="D103"/>
    </row>
  </sheetData>
  <sheetProtection/>
  <mergeCells count="13">
    <mergeCell ref="G3:M3"/>
    <mergeCell ref="C4:F4"/>
    <mergeCell ref="G4:L4"/>
    <mergeCell ref="C5:F5"/>
    <mergeCell ref="G5:M5"/>
    <mergeCell ref="G7:L7"/>
    <mergeCell ref="O8:S8"/>
    <mergeCell ref="G9:L9"/>
    <mergeCell ref="G6:M6"/>
    <mergeCell ref="C11:F11"/>
    <mergeCell ref="C13:F13"/>
    <mergeCell ref="C12:F12"/>
    <mergeCell ref="G8:L8"/>
  </mergeCells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pmsaposse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leonor</dc:creator>
  <cp:keywords/>
  <dc:description/>
  <cp:lastModifiedBy>roselena.guarnieri</cp:lastModifiedBy>
  <cp:lastPrinted>2016-04-14T16:28:36Z</cp:lastPrinted>
  <dcterms:created xsi:type="dcterms:W3CDTF">2010-06-15T12:33:41Z</dcterms:created>
  <dcterms:modified xsi:type="dcterms:W3CDTF">2016-05-09T18:12:43Z</dcterms:modified>
  <cp:category/>
  <cp:version/>
  <cp:contentType/>
  <cp:contentStatus/>
</cp:coreProperties>
</file>