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155" tabRatio="817" activeTab="0"/>
  </bookViews>
  <sheets>
    <sheet name="orçamento CPOS" sheetId="1" r:id="rId1"/>
    <sheet name="cronograma" sheetId="2" r:id="rId2"/>
  </sheets>
  <definedNames>
    <definedName name="_xlnm.Print_Area" localSheetId="1">'cronograma'!$A$1:$K$42</definedName>
    <definedName name="_xlnm.Print_Area" localSheetId="0">'orçamento CPOS'!$B$1:$H$87</definedName>
    <definedName name="_xlnm.Print_Titles" localSheetId="1">'cronograma'!$2:$13</definedName>
    <definedName name="_xlnm.Print_Titles" localSheetId="0">'orçamento CPOS'!$2:$12</definedName>
  </definedNames>
  <calcPr fullCalcOnLoad="1"/>
</workbook>
</file>

<file path=xl/sharedStrings.xml><?xml version="1.0" encoding="utf-8"?>
<sst xmlns="http://schemas.openxmlformats.org/spreadsheetml/2006/main" count="268" uniqueCount="185">
  <si>
    <t>ITEM</t>
  </si>
  <si>
    <t>UNID.</t>
  </si>
  <si>
    <t>TOTAL</t>
  </si>
  <si>
    <t>PLANILHA DE ORÇAMENTO</t>
  </si>
  <si>
    <t>QUANT.</t>
  </si>
  <si>
    <t>UNITÁRIO</t>
  </si>
  <si>
    <t>PREFEITURA MUNICIPAL DE SANTO ANTONIO DE POSSE</t>
  </si>
  <si>
    <t>Estado de São Paulo</t>
  </si>
  <si>
    <t>TOTAL ( R$ )</t>
  </si>
  <si>
    <t>1.1</t>
  </si>
  <si>
    <t>DESCRIÇÃO SERVIÇOS</t>
  </si>
  <si>
    <t>VALOR</t>
  </si>
  <si>
    <t>_________________________________</t>
  </si>
  <si>
    <t xml:space="preserve">              PREFEITO MUNICIPAL</t>
  </si>
  <si>
    <t xml:space="preserve">     NORBERTO DE OLIVÉRIO JUNIOR</t>
  </si>
  <si>
    <t>MATERIAL + MÃO DE OBRA</t>
  </si>
  <si>
    <t>(R$)</t>
  </si>
  <si>
    <t>OBRA: GALERIAS PLUVIAIS (PARCIAL) E PAVIMENTAÇÃO ASFÁLTICA NA RUA SÃO JOSÉ</t>
  </si>
  <si>
    <t>m</t>
  </si>
  <si>
    <t>m²</t>
  </si>
  <si>
    <t>AUTOR DO PROJETO E ORÇAMENTO</t>
  </si>
  <si>
    <t>CREA 0605058496</t>
  </si>
  <si>
    <t>SANTO ANTONIO DE POSSE - SP</t>
  </si>
  <si>
    <t>CRONOGRAMA FÍSICO- FINANCEIRO</t>
  </si>
  <si>
    <t>DESCRIÇÃO DAS</t>
  </si>
  <si>
    <t>UN.</t>
  </si>
  <si>
    <t>PRAZO DE EXECUÇÃO DA OBRA</t>
  </si>
  <si>
    <t>ATIVIDADES</t>
  </si>
  <si>
    <t>SERVIÇOS GERAIS MAT+M.O.</t>
  </si>
  <si>
    <t>1º MÊS</t>
  </si>
  <si>
    <t>2º MÊS</t>
  </si>
  <si>
    <t>conj.</t>
  </si>
  <si>
    <t>NORBERTO DE OLIVÉRIO JUNIOR</t>
  </si>
  <si>
    <t>ENG. JOSÉ SIDNEI VIEIRA</t>
  </si>
  <si>
    <t>PREFEITO MUNICIPAL</t>
  </si>
  <si>
    <t>TOTAL (R$)</t>
  </si>
  <si>
    <t>TOTAL COM BDI (R$)</t>
  </si>
  <si>
    <t>3º MÊS</t>
  </si>
  <si>
    <t>4º MÊS</t>
  </si>
  <si>
    <t>5º MÊS</t>
  </si>
  <si>
    <t>Subtotal</t>
  </si>
  <si>
    <t>BDI (20,34%) ( R$ )</t>
  </si>
  <si>
    <t>TOTAL COM BDI (20,34%) ( R$ )</t>
  </si>
  <si>
    <t>BDI (20,34%) (R$)</t>
  </si>
  <si>
    <t xml:space="preserve">Subtotal </t>
  </si>
  <si>
    <t>2.1</t>
  </si>
  <si>
    <t>3.1</t>
  </si>
  <si>
    <t>4.1</t>
  </si>
  <si>
    <t>4.2</t>
  </si>
  <si>
    <t>4.3</t>
  </si>
  <si>
    <t>5.1</t>
  </si>
  <si>
    <t>5.2</t>
  </si>
  <si>
    <t>5.3</t>
  </si>
  <si>
    <t>6.1</t>
  </si>
  <si>
    <t>7.1</t>
  </si>
  <si>
    <t>FUNDAÇÃO DO GALPÃO</t>
  </si>
  <si>
    <t>COMPLEMENTO DA ESTRUTURA</t>
  </si>
  <si>
    <t>Polimento das colunas e selamento da estrutura pré-fabricada de concreto;</t>
  </si>
  <si>
    <t>Condutores de PVC 100mm embutido nas colunas;</t>
  </si>
  <si>
    <t>PAVIMENTO SUPERIOR</t>
  </si>
  <si>
    <t>COBERTURA DO GALPÃO</t>
  </si>
  <si>
    <t>Escada tipo "Marinheiro" para acesso a cobertura em estrutura metálica - após 2,00m de altura do piso;</t>
  </si>
  <si>
    <t>FECHAMENTO DO GALPÃO</t>
  </si>
  <si>
    <t xml:space="preserve">IMPERMEABILIZAÇÃO </t>
  </si>
  <si>
    <t>Impermeabilização externa em silicone nas calhas platibanda;</t>
  </si>
  <si>
    <t>Impermeabilização externa em silicone nas placas fechamento;</t>
  </si>
  <si>
    <t>DATA: Julho 2019.</t>
  </si>
  <si>
    <t>Escada pré-fabricada em concreto, com largura de 2,20m (conjunto com 24 degraus);</t>
  </si>
  <si>
    <t>un.</t>
  </si>
  <si>
    <t>2.2</t>
  </si>
  <si>
    <t>2.3</t>
  </si>
  <si>
    <t>2.4</t>
  </si>
  <si>
    <t>2.5</t>
  </si>
  <si>
    <t>5.4</t>
  </si>
  <si>
    <t>5.5</t>
  </si>
  <si>
    <t>5.6</t>
  </si>
  <si>
    <t>5.7</t>
  </si>
  <si>
    <t>6.2</t>
  </si>
  <si>
    <t>6.3</t>
  </si>
  <si>
    <t>8.1</t>
  </si>
  <si>
    <t>8.2</t>
  </si>
  <si>
    <t>CONSTRUÇÃO DE GALPÃO EM PRÉ-FABRICADOS DE CONCRETO - PRONTO SOCORRO AVANÇADO</t>
  </si>
  <si>
    <r>
      <t xml:space="preserve">OBRA: </t>
    </r>
    <r>
      <rPr>
        <sz val="11"/>
        <rFont val="Times New Roman"/>
        <family val="1"/>
      </rPr>
      <t>CONSTRUÇÃO DE GALPÃO EM PRÉ-FABRICADOS DE CONCRETO - PRONTO SOCORRO AVANÇADO</t>
    </r>
  </si>
  <si>
    <r>
      <t>CLIENTE:</t>
    </r>
    <r>
      <rPr>
        <sz val="11"/>
        <rFont val="Times New Roman"/>
        <family val="1"/>
      </rPr>
      <t xml:space="preserve"> PREFEITURA MUNICIPAL DE SANTO ANTONIO DE POSSE</t>
    </r>
  </si>
  <si>
    <t xml:space="preserve">                                          ENGº CIVIL JOSÉ SIDNEI VIEIRA</t>
  </si>
  <si>
    <t xml:space="preserve">           _______________________________________</t>
  </si>
  <si>
    <t xml:space="preserve">                                         AUTOR DO PROJETO E PLANILHA</t>
  </si>
  <si>
    <t xml:space="preserve">                             CREA 0605058496</t>
  </si>
  <si>
    <t>CÓDIGO</t>
  </si>
  <si>
    <t xml:space="preserve">CPOS </t>
  </si>
  <si>
    <t>24.03.060</t>
  </si>
  <si>
    <t>12.12.014</t>
  </si>
  <si>
    <t>Taxa de mobilização e desmobilização de equipamentos para execução de estaca tipo hélice contínua em solo</t>
  </si>
  <si>
    <t>12.12.010</t>
  </si>
  <si>
    <t>tx</t>
  </si>
  <si>
    <t>12.12.016</t>
  </si>
  <si>
    <t>12.12.020</t>
  </si>
  <si>
    <t>m³</t>
  </si>
  <si>
    <t>15.05.290</t>
  </si>
  <si>
    <t>Armadura em barra de aço CA-50 (A ou B) fyk = 500 MPa</t>
  </si>
  <si>
    <t>10.01.040</t>
  </si>
  <si>
    <t>kg</t>
  </si>
  <si>
    <t>Concreto usinado, fck = 25 MPa - para bombeamento</t>
  </si>
  <si>
    <t>11.01.290</t>
  </si>
  <si>
    <t>Vigas plana protendida com seção 0,35 x 0,80 x 19,00m; 4 peças</t>
  </si>
  <si>
    <t>O.02.000.062581</t>
  </si>
  <si>
    <t>Armadura em tela soldada de aço - 2,2 kgm²</t>
  </si>
  <si>
    <t>10.02.020</t>
  </si>
  <si>
    <t>Nivelamento de piso em concreto com acabadora de superfície</t>
  </si>
  <si>
    <t>11.16.220</t>
  </si>
  <si>
    <t>32.17.060</t>
  </si>
  <si>
    <t>33.03.770</t>
  </si>
  <si>
    <t>Telha de aço galvanizado, Trapézio 35, com espessura de 0,50mm, tipo sanduíche com poliuretano de 30mm de espessura, pintura ambas as faces</t>
  </si>
  <si>
    <t>16.13.070</t>
  </si>
  <si>
    <t>16.33.052</t>
  </si>
  <si>
    <t>FDE 03.03.038</t>
  </si>
  <si>
    <t>2.6</t>
  </si>
  <si>
    <t>2.7</t>
  </si>
  <si>
    <t>2.8</t>
  </si>
  <si>
    <t>01.17.061</t>
  </si>
  <si>
    <t>Regularização e compactação mecanizada de superfície, sem controle do proctor normal</t>
  </si>
  <si>
    <t>54.01.010</t>
  </si>
  <si>
    <t>11.18.040</t>
  </si>
  <si>
    <t>Lastro de pedra britada - 10cm espessura.</t>
  </si>
  <si>
    <t>1.2</t>
  </si>
  <si>
    <t>1.3</t>
  </si>
  <si>
    <t>3.2</t>
  </si>
  <si>
    <t>3.3</t>
  </si>
  <si>
    <t>3.4</t>
  </si>
  <si>
    <t>3.5</t>
  </si>
  <si>
    <t>3.6</t>
  </si>
  <si>
    <t>33.01.050</t>
  </si>
  <si>
    <t>Laje Alveolar pré-fabricada de concreto para piso para sobrecarga 300Kgf/m²; c/ capeamento</t>
  </si>
  <si>
    <t xml:space="preserve">Rufo de aço galvanizado corte 50, chapa 24; </t>
  </si>
  <si>
    <t>5.8</t>
  </si>
  <si>
    <t>SERVIÇOS COMPLEMENTARES</t>
  </si>
  <si>
    <t>02.10.020</t>
  </si>
  <si>
    <t>Limpeza mecanizada do terreno, inclusive troncos até 15 cm de diâmetro, com caminhão à disposição dentro e fora da obra, com transporte no raio de até 1 km</t>
  </si>
  <si>
    <t>02.09.040</t>
  </si>
  <si>
    <t>Transporte de solo de 1ª e 2ª categoria por caminhão até o 2° km</t>
  </si>
  <si>
    <t>05.10.020</t>
  </si>
  <si>
    <t>Carregamento mecanizado de solo de 1ª e 2ª categoria</t>
  </si>
  <si>
    <t>05.10.010</t>
  </si>
  <si>
    <t>1.4</t>
  </si>
  <si>
    <t>1.5</t>
  </si>
  <si>
    <t>1.6</t>
  </si>
  <si>
    <t>1.7</t>
  </si>
  <si>
    <t>Calculo e projeto estrutural da fundação, incluindo ART do responsáavel técnico</t>
  </si>
  <si>
    <t>Locação da obra e gabarito</t>
  </si>
  <si>
    <t>Bloco Cálice em concreto armado moldado "in loco" 0,74x0,64x0,20m para 1 estaca; (03 unid c/ 0,46 m³)</t>
  </si>
  <si>
    <t>Bloco Cálice em concreto armado moldado "in loco" 1,5x1,50x0,70m para 3 estacas; (18 unid c/ 1,45 m³)</t>
  </si>
  <si>
    <t>Bloco Cálice em concreto armado moldado "in loco" 1,50x1,50x0,70m para 3 estacas; (4 unid c/ 2,32m³)</t>
  </si>
  <si>
    <t>Colunas lisas com seção de 0,35 x 0,50 x 11,00m;  4 peças</t>
  </si>
  <si>
    <t>Colunas lisas com seção de 0,35 x 0,50 x 12,00m; 8 peças</t>
  </si>
  <si>
    <t>Terças protendidas H25 para vão de 10,00m; 42 peças</t>
  </si>
  <si>
    <t>Suportes em concreto para Terças H25; 35 peças</t>
  </si>
  <si>
    <t xml:space="preserve">Calha platibanda protendida pré-fabricada de concreto com 1,25m de altura para vão de 50,00m; </t>
  </si>
  <si>
    <t>4.4</t>
  </si>
  <si>
    <t>Colunas lisas para portão com seção 0,30 x 0,40m;</t>
  </si>
  <si>
    <t>Colunas lisas com seção 0,30 x 0,30x5,00m; 4 peças</t>
  </si>
  <si>
    <t>Colunas lisas com seção 0,35 x 0,60x5,00m; 4 peças</t>
  </si>
  <si>
    <t>Viga pré-fabricada em concreto para laje piso com seção de 0,30x0,50x24,22m;</t>
  </si>
  <si>
    <t>Viga pré-fabricada em concreto protendida com seção 0,30x0,60x12,60m para laje piso;</t>
  </si>
  <si>
    <t>Viga pré-fabricada em concreto protendida com seção 0,40x0,80x98,58m para laje piso;</t>
  </si>
  <si>
    <t>Viga pré-fabricada em concreto protentida com seção de 0,86x0,80x39,64m;</t>
  </si>
  <si>
    <t xml:space="preserve">Placa de fechamento pré-fabricada em concreto, lisa  protendida com dimensões de 10,00x1,25x0,12cm 09 peças </t>
  </si>
  <si>
    <t xml:space="preserve">Placa de fechamento pré-fabricada em concreto, lisa  protendida com dimensões de 8,00x1,75x0,12cm 03 peças </t>
  </si>
  <si>
    <t xml:space="preserve">Placa de fechamento pré-fabricada em concreto, lisa  protendida com dimensões de 10,00x1,75x0,12cm 10 peças </t>
  </si>
  <si>
    <t xml:space="preserve">Placa de fechamento pré-fabricada em concreto, lisa  protendida com dimensões de 10,00x2,37x0,12cm 14 peças </t>
  </si>
  <si>
    <t xml:space="preserve">Placa de fechamento pré-fabricada em concreto, lisa  protendida com dimensões de 10,00x2,52x0,12cm 14 peças </t>
  </si>
  <si>
    <t>Colunas lisas com seção de 0,35 x 0,60 x 12,00m; 2 peças</t>
  </si>
  <si>
    <t>2.9</t>
  </si>
  <si>
    <t>5.9</t>
  </si>
  <si>
    <t>5.10</t>
  </si>
  <si>
    <t>7.2</t>
  </si>
  <si>
    <t>7.3</t>
  </si>
  <si>
    <t>7.4</t>
  </si>
  <si>
    <t>7.5</t>
  </si>
  <si>
    <t>ESTRUTURA PRE-FABRICADA DE CONCRETO, com vão entre coluna de 10,00m, e pé direito de 8,32m, composto por;</t>
  </si>
  <si>
    <r>
      <t xml:space="preserve">LOCAL: </t>
    </r>
    <r>
      <rPr>
        <sz val="11"/>
        <rFont val="Times New Roman"/>
        <family val="1"/>
      </rPr>
      <t>Rua Alexandre Fleming, nº 151 Centro</t>
    </r>
  </si>
  <si>
    <t>150 DIAS</t>
  </si>
  <si>
    <r>
      <t>LOCAL:</t>
    </r>
    <r>
      <rPr>
        <sz val="12"/>
        <rFont val="Times New Roman"/>
        <family val="1"/>
      </rPr>
      <t xml:space="preserve">  Rua Alexandre Fleming</t>
    </r>
    <r>
      <rPr>
        <b/>
        <sz val="12"/>
        <rFont val="Times New Roman"/>
        <family val="1"/>
      </rPr>
      <t>, nº 151 Centro</t>
    </r>
  </si>
  <si>
    <t>Estaca tipo hélice contínua, diâmetro de 25 cm em solo (9 unid c/ 16mt) c/ monitoramento</t>
  </si>
  <si>
    <t>Estaca tipo hélice contínua, diâmetro de 30 cm em solo (48 unid c/ 16mt) c/ monitoramento</t>
  </si>
  <si>
    <t>Estaca tipo hélice contínua, diâmetro de 35 cm em solo (16 unid c/ 17mt) c/ monitoramento</t>
  </si>
</sst>
</file>

<file path=xl/styles.xml><?xml version="1.0" encoding="utf-8"?>
<styleSheet xmlns="http://schemas.openxmlformats.org/spreadsheetml/2006/main">
  <numFmts count="6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 &quot;#,##0.00"/>
    <numFmt numFmtId="185" formatCode="0.00000"/>
    <numFmt numFmtId="186" formatCode="0.0000"/>
    <numFmt numFmtId="187" formatCode="_(* #,##0.000_);_(* \(#,##0.000\);_(* &quot;-&quot;??_);_(@_)"/>
    <numFmt numFmtId="188" formatCode="_(* #,##0.0000_);_(* \(#,##0.0000\);_(* &quot;-&quot;??_);_(@_)"/>
    <numFmt numFmtId="189" formatCode="_(&quot;R$ &quot;* #,##0.00_);_(&quot;R$ &quot;* \(#,##0.00\);_(&quot;R$ &quot;* &quot;-&quot;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_(* #,##0.00000000000000000_);_(* \(#,##0.00000000000000000\);_(* &quot;-&quot;??_);_(@_)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#,##0.0000000000000000"/>
    <numFmt numFmtId="217" formatCode="#,##0.00000000000000000"/>
    <numFmt numFmtId="218" formatCode="[$-416]dddd\,\ d&quot; de &quot;mmmm&quot; de &quot;yyyy"/>
    <numFmt numFmtId="219" formatCode="&quot;R$&quot;#,##0.00"/>
    <numFmt numFmtId="220" formatCode="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7" fontId="5" fillId="33" borderId="0" xfId="63" applyFont="1" applyFill="1" applyBorder="1" applyAlignment="1">
      <alignment horizontal="center"/>
    </xf>
    <xf numFmtId="0" fontId="4" fillId="0" borderId="0" xfId="0" applyFont="1" applyAlignment="1">
      <alignment/>
    </xf>
    <xf numFmtId="17" fontId="5" fillId="33" borderId="0" xfId="0" applyNumberFormat="1" applyFont="1" applyFill="1" applyBorder="1" applyAlignment="1">
      <alignment horizontal="center"/>
    </xf>
    <xf numFmtId="177" fontId="6" fillId="0" borderId="10" xfId="63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63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7" fontId="8" fillId="0" borderId="0" xfId="63" applyFont="1" applyBorder="1" applyAlignment="1">
      <alignment/>
    </xf>
    <xf numFmtId="177" fontId="4" fillId="0" borderId="0" xfId="63" applyFont="1" applyAlignment="1">
      <alignment/>
    </xf>
    <xf numFmtId="177" fontId="4" fillId="0" borderId="15" xfId="63" applyFont="1" applyBorder="1" applyAlignment="1">
      <alignment horizontal="right"/>
    </xf>
    <xf numFmtId="177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77" fontId="4" fillId="0" borderId="19" xfId="63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177" fontId="8" fillId="0" borderId="22" xfId="63" applyFont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177" fontId="10" fillId="34" borderId="22" xfId="0" applyNumberFormat="1" applyFont="1" applyFill="1" applyBorder="1" applyAlignment="1">
      <alignment/>
    </xf>
    <xf numFmtId="177" fontId="4" fillId="0" borderId="24" xfId="63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183" fontId="10" fillId="33" borderId="25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/>
    </xf>
    <xf numFmtId="4" fontId="10" fillId="35" borderId="2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Border="1" applyAlignment="1">
      <alignment/>
    </xf>
    <xf numFmtId="39" fontId="4" fillId="0" borderId="0" xfId="0" applyNumberFormat="1" applyFont="1" applyBorder="1" applyAlignment="1">
      <alignment horizontal="left"/>
    </xf>
    <xf numFmtId="183" fontId="10" fillId="33" borderId="14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177" fontId="8" fillId="0" borderId="0" xfId="0" applyNumberFormat="1" applyFont="1" applyBorder="1" applyAlignment="1">
      <alignment/>
    </xf>
    <xf numFmtId="0" fontId="4" fillId="0" borderId="24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35" borderId="28" xfId="0" applyFont="1" applyFill="1" applyBorder="1" applyAlignment="1">
      <alignment horizontal="center"/>
    </xf>
    <xf numFmtId="177" fontId="12" fillId="35" borderId="15" xfId="63" applyFont="1" applyFill="1" applyBorder="1" applyAlignment="1">
      <alignment horizontal="right"/>
    </xf>
    <xf numFmtId="0" fontId="12" fillId="35" borderId="15" xfId="0" applyFont="1" applyFill="1" applyBorder="1" applyAlignment="1">
      <alignment horizontal="right"/>
    </xf>
    <xf numFmtId="177" fontId="12" fillId="35" borderId="15" xfId="63" applyFont="1" applyFill="1" applyBorder="1" applyAlignment="1">
      <alignment/>
    </xf>
    <xf numFmtId="177" fontId="12" fillId="35" borderId="16" xfId="0" applyNumberFormat="1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177" fontId="10" fillId="34" borderId="30" xfId="63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177" fontId="12" fillId="0" borderId="29" xfId="63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177" fontId="10" fillId="0" borderId="23" xfId="63" applyFont="1" applyFill="1" applyBorder="1" applyAlignment="1">
      <alignment horizontal="right" vertical="center"/>
    </xf>
    <xf numFmtId="39" fontId="10" fillId="0" borderId="22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177" fontId="4" fillId="0" borderId="15" xfId="63" applyFont="1" applyFill="1" applyBorder="1" applyAlignment="1">
      <alignment horizontal="right"/>
    </xf>
    <xf numFmtId="0" fontId="8" fillId="0" borderId="15" xfId="0" applyFont="1" applyBorder="1" applyAlignment="1">
      <alignment horizontal="left" vertical="center"/>
    </xf>
    <xf numFmtId="177" fontId="8" fillId="0" borderId="15" xfId="63" applyFont="1" applyBorder="1" applyAlignment="1">
      <alignment horizontal="right" vertical="center"/>
    </xf>
    <xf numFmtId="177" fontId="8" fillId="0" borderId="24" xfId="63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177" fontId="10" fillId="0" borderId="29" xfId="63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177" fontId="10" fillId="0" borderId="3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77" fontId="12" fillId="33" borderId="19" xfId="63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17" fontId="12" fillId="0" borderId="0" xfId="0" applyNumberFormat="1" applyFont="1" applyBorder="1" applyAlignment="1">
      <alignment horizontal="center" vertical="top"/>
    </xf>
    <xf numFmtId="177" fontId="10" fillId="33" borderId="21" xfId="63" applyFont="1" applyFill="1" applyBorder="1" applyAlignment="1">
      <alignment horizontal="center"/>
    </xf>
    <xf numFmtId="183" fontId="10" fillId="33" borderId="12" xfId="0" applyNumberFormat="1" applyFont="1" applyFill="1" applyBorder="1" applyAlignment="1">
      <alignment/>
    </xf>
    <xf numFmtId="177" fontId="10" fillId="33" borderId="12" xfId="63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77" fontId="10" fillId="0" borderId="12" xfId="63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"/>
    </xf>
    <xf numFmtId="177" fontId="12" fillId="0" borderId="12" xfId="63" applyFont="1" applyFill="1" applyBorder="1" applyAlignment="1">
      <alignment horizontal="center"/>
    </xf>
    <xf numFmtId="39" fontId="10" fillId="33" borderId="33" xfId="0" applyNumberFormat="1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/>
    </xf>
    <xf numFmtId="0" fontId="10" fillId="35" borderId="35" xfId="0" applyFont="1" applyFill="1" applyBorder="1" applyAlignment="1">
      <alignment/>
    </xf>
    <xf numFmtId="177" fontId="12" fillId="35" borderId="35" xfId="63" applyFont="1" applyFill="1" applyBorder="1" applyAlignment="1">
      <alignment horizontal="right"/>
    </xf>
    <xf numFmtId="177" fontId="12" fillId="35" borderId="35" xfId="63" applyFont="1" applyFill="1" applyBorder="1" applyAlignment="1">
      <alignment horizontal="center"/>
    </xf>
    <xf numFmtId="177" fontId="12" fillId="35" borderId="36" xfId="63" applyFont="1" applyFill="1" applyBorder="1" applyAlignment="1">
      <alignment horizontal="right"/>
    </xf>
    <xf numFmtId="39" fontId="12" fillId="35" borderId="35" xfId="0" applyNumberFormat="1" applyFont="1" applyFill="1" applyBorder="1" applyAlignment="1">
      <alignment/>
    </xf>
    <xf numFmtId="177" fontId="12" fillId="33" borderId="15" xfId="63" applyFont="1" applyFill="1" applyBorder="1" applyAlignment="1">
      <alignment horizontal="right"/>
    </xf>
    <xf numFmtId="177" fontId="12" fillId="33" borderId="15" xfId="63" applyFont="1" applyFill="1" applyBorder="1" applyAlignment="1">
      <alignment horizontal="center"/>
    </xf>
    <xf numFmtId="177" fontId="12" fillId="33" borderId="37" xfId="63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/>
    </xf>
    <xf numFmtId="177" fontId="12" fillId="0" borderId="15" xfId="63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177" fontId="12" fillId="36" borderId="15" xfId="63" applyFont="1" applyFill="1" applyBorder="1" applyAlignment="1">
      <alignment/>
    </xf>
    <xf numFmtId="43" fontId="12" fillId="33" borderId="38" xfId="0" applyNumberFormat="1" applyFont="1" applyFill="1" applyBorder="1" applyAlignment="1">
      <alignment/>
    </xf>
    <xf numFmtId="43" fontId="12" fillId="0" borderId="15" xfId="0" applyNumberFormat="1" applyFont="1" applyFill="1" applyBorder="1" applyAlignment="1">
      <alignment/>
    </xf>
    <xf numFmtId="177" fontId="12" fillId="33" borderId="24" xfId="63" applyFont="1" applyFill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177" fontId="12" fillId="33" borderId="39" xfId="63" applyFont="1" applyFill="1" applyBorder="1" applyAlignment="1">
      <alignment horizontal="right"/>
    </xf>
    <xf numFmtId="43" fontId="12" fillId="0" borderId="38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177" fontId="12" fillId="0" borderId="40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77" fontId="12" fillId="0" borderId="29" xfId="63" applyFont="1" applyBorder="1" applyAlignment="1">
      <alignment horizontal="right"/>
    </xf>
    <xf numFmtId="0" fontId="12" fillId="0" borderId="30" xfId="0" applyFont="1" applyBorder="1" applyAlignment="1">
      <alignment horizontal="center"/>
    </xf>
    <xf numFmtId="177" fontId="10" fillId="0" borderId="23" xfId="63" applyFont="1" applyFill="1" applyBorder="1" applyAlignment="1">
      <alignment horizontal="right"/>
    </xf>
    <xf numFmtId="39" fontId="10" fillId="0" borderId="22" xfId="0" applyNumberFormat="1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1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9" fontId="12" fillId="0" borderId="0" xfId="0" applyNumberFormat="1" applyFont="1" applyBorder="1" applyAlignment="1">
      <alignment/>
    </xf>
    <xf numFmtId="0" fontId="10" fillId="35" borderId="43" xfId="0" applyFont="1" applyFill="1" applyBorder="1" applyAlignment="1">
      <alignment horizontal="left"/>
    </xf>
    <xf numFmtId="177" fontId="4" fillId="0" borderId="44" xfId="63" applyFont="1" applyBorder="1" applyAlignment="1">
      <alignment horizontal="center"/>
    </xf>
    <xf numFmtId="177" fontId="4" fillId="0" borderId="44" xfId="63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2" fillId="35" borderId="15" xfId="0" applyFont="1" applyFill="1" applyBorder="1" applyAlignment="1">
      <alignment horizontal="center"/>
    </xf>
    <xf numFmtId="177" fontId="4" fillId="0" borderId="15" xfId="63" applyFont="1" applyBorder="1" applyAlignment="1">
      <alignment vertical="center"/>
    </xf>
    <xf numFmtId="177" fontId="4" fillId="0" borderId="15" xfId="63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177" fontId="4" fillId="0" borderId="16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wrapText="1"/>
    </xf>
    <xf numFmtId="177" fontId="4" fillId="0" borderId="24" xfId="63" applyFont="1" applyBorder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10" fillId="35" borderId="45" xfId="0" applyFont="1" applyFill="1" applyBorder="1" applyAlignment="1">
      <alignment horizontal="center"/>
    </xf>
    <xf numFmtId="0" fontId="10" fillId="35" borderId="46" xfId="0" applyFont="1" applyFill="1" applyBorder="1" applyAlignment="1">
      <alignment horizontal="left"/>
    </xf>
    <xf numFmtId="0" fontId="12" fillId="35" borderId="35" xfId="0" applyFont="1" applyFill="1" applyBorder="1" applyAlignment="1">
      <alignment horizontal="right"/>
    </xf>
    <xf numFmtId="177" fontId="12" fillId="35" borderId="35" xfId="63" applyFont="1" applyFill="1" applyBorder="1" applyAlignment="1">
      <alignment/>
    </xf>
    <xf numFmtId="177" fontId="12" fillId="35" borderId="47" xfId="0" applyNumberFormat="1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left" vertical="center"/>
    </xf>
    <xf numFmtId="177" fontId="8" fillId="0" borderId="49" xfId="63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177" fontId="8" fillId="0" borderId="49" xfId="63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4" fillId="0" borderId="15" xfId="63" applyFont="1" applyFill="1" applyBorder="1" applyAlignment="1">
      <alignment vertical="center"/>
    </xf>
    <xf numFmtId="177" fontId="4" fillId="0" borderId="15" xfId="63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77" fontId="4" fillId="0" borderId="24" xfId="63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wrapText="1"/>
    </xf>
    <xf numFmtId="177" fontId="4" fillId="0" borderId="51" xfId="63" applyFont="1" applyBorder="1" applyAlignment="1">
      <alignment/>
    </xf>
    <xf numFmtId="177" fontId="4" fillId="0" borderId="0" xfId="0" applyNumberFormat="1" applyFont="1" applyAlignment="1">
      <alignment/>
    </xf>
    <xf numFmtId="177" fontId="8" fillId="0" borderId="15" xfId="63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vertical="top" wrapText="1"/>
    </xf>
    <xf numFmtId="177" fontId="8" fillId="0" borderId="18" xfId="63" applyNumberFormat="1" applyFont="1" applyBorder="1" applyAlignment="1">
      <alignment horizontal="center"/>
    </xf>
    <xf numFmtId="177" fontId="8" fillId="0" borderId="20" xfId="63" applyNumberFormat="1" applyFont="1" applyBorder="1" applyAlignment="1">
      <alignment horizontal="center"/>
    </xf>
    <xf numFmtId="177" fontId="8" fillId="0" borderId="27" xfId="63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0" xfId="0" applyFont="1" applyFill="1" applyBorder="1" applyAlignment="1">
      <alignment horizontal="center" vertical="top" wrapText="1"/>
    </xf>
    <xf numFmtId="177" fontId="7" fillId="33" borderId="0" xfId="63" applyFont="1" applyFill="1" applyBorder="1" applyAlignment="1">
      <alignment horizontal="center"/>
    </xf>
    <xf numFmtId="177" fontId="6" fillId="0" borderId="10" xfId="63" applyNumberFormat="1" applyFont="1" applyFill="1" applyBorder="1" applyAlignment="1">
      <alignment horizontal="left"/>
    </xf>
    <xf numFmtId="177" fontId="6" fillId="0" borderId="0" xfId="63" applyNumberFormat="1" applyFont="1" applyFill="1" applyBorder="1" applyAlignment="1">
      <alignment horizontal="left"/>
    </xf>
    <xf numFmtId="177" fontId="6" fillId="0" borderId="11" xfId="63" applyNumberFormat="1" applyFont="1" applyFill="1" applyBorder="1" applyAlignment="1">
      <alignment horizontal="left"/>
    </xf>
    <xf numFmtId="177" fontId="6" fillId="0" borderId="18" xfId="63" applyNumberFormat="1" applyFont="1" applyBorder="1" applyAlignment="1">
      <alignment horizontal="center" vertical="center"/>
    </xf>
    <xf numFmtId="177" fontId="6" fillId="0" borderId="19" xfId="63" applyNumberFormat="1" applyFont="1" applyBorder="1" applyAlignment="1">
      <alignment horizontal="center" vertical="center"/>
    </xf>
    <xf numFmtId="177" fontId="6" fillId="0" borderId="20" xfId="63" applyNumberFormat="1" applyFont="1" applyBorder="1" applyAlignment="1">
      <alignment horizontal="center" vertical="center"/>
    </xf>
    <xf numFmtId="177" fontId="6" fillId="0" borderId="0" xfId="63" applyNumberFormat="1" applyFont="1" applyBorder="1" applyAlignment="1">
      <alignment horizontal="left"/>
    </xf>
    <xf numFmtId="177" fontId="6" fillId="0" borderId="11" xfId="63" applyNumberFormat="1" applyFont="1" applyBorder="1" applyAlignment="1">
      <alignment horizontal="left"/>
    </xf>
    <xf numFmtId="177" fontId="6" fillId="0" borderId="10" xfId="63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9" fontId="10" fillId="33" borderId="18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9" fontId="10" fillId="33" borderId="27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9" fontId="10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39" fontId="10" fillId="0" borderId="1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39" fontId="10" fillId="0" borderId="27" xfId="0" applyNumberFormat="1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10" fillId="0" borderId="29" xfId="0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180975</xdr:rowOff>
    </xdr:from>
    <xdr:to>
      <xdr:col>2</xdr:col>
      <xdr:colOff>238125</xdr:colOff>
      <xdr:row>3</xdr:row>
      <xdr:rowOff>47625</xdr:rowOff>
    </xdr:to>
    <xdr:pic>
      <xdr:nvPicPr>
        <xdr:cNvPr id="1" name="Picture 2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209550</xdr:rowOff>
    </xdr:from>
    <xdr:to>
      <xdr:col>1</xdr:col>
      <xdr:colOff>542925</xdr:colOff>
      <xdr:row>2</xdr:row>
      <xdr:rowOff>295275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9550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7"/>
  <sheetViews>
    <sheetView showGridLines="0" tabSelected="1" view="pageBreakPreview" zoomScale="90" zoomScaleSheetLayoutView="90" zoomScalePageLayoutView="0" workbookViewId="0" topLeftCell="A49">
      <selection activeCell="M68" sqref="M68"/>
    </sheetView>
  </sheetViews>
  <sheetFormatPr defaultColWidth="11.57421875" defaultRowHeight="12.75"/>
  <cols>
    <col min="1" max="1" width="3.421875" style="3" customWidth="1"/>
    <col min="2" max="2" width="9.00390625" style="1" customWidth="1"/>
    <col min="3" max="3" width="79.7109375" style="3" customWidth="1"/>
    <col min="4" max="4" width="14.00390625" style="3" customWidth="1"/>
    <col min="5" max="5" width="10.00390625" style="1" customWidth="1"/>
    <col min="6" max="6" width="6.421875" style="1" customWidth="1"/>
    <col min="7" max="7" width="14.7109375" style="19" customWidth="1"/>
    <col min="8" max="8" width="18.28125" style="3" customWidth="1"/>
    <col min="9" max="9" width="12.28125" style="3" bestFit="1" customWidth="1"/>
    <col min="10" max="16384" width="11.57421875" style="3" customWidth="1"/>
  </cols>
  <sheetData>
    <row r="1" spans="2:8" ht="20.25" customHeight="1" thickTop="1">
      <c r="B1" s="23"/>
      <c r="C1" s="24"/>
      <c r="D1" s="24"/>
      <c r="E1" s="25"/>
      <c r="F1" s="25"/>
      <c r="G1" s="26"/>
      <c r="H1" s="27"/>
    </row>
    <row r="2" spans="2:8" ht="22.5" customHeight="1">
      <c r="B2" s="6"/>
      <c r="C2" s="187" t="s">
        <v>6</v>
      </c>
      <c r="D2" s="187"/>
      <c r="E2" s="187"/>
      <c r="F2" s="187"/>
      <c r="G2" s="187"/>
      <c r="H2" s="9"/>
    </row>
    <row r="3" spans="2:8" ht="18" customHeight="1">
      <c r="B3" s="6"/>
      <c r="C3" s="187" t="s">
        <v>7</v>
      </c>
      <c r="D3" s="187"/>
      <c r="E3" s="187"/>
      <c r="F3" s="187"/>
      <c r="G3" s="187"/>
      <c r="H3" s="9"/>
    </row>
    <row r="4" spans="2:8" ht="9.75" customHeight="1" thickBot="1">
      <c r="B4" s="6"/>
      <c r="C4" s="4"/>
      <c r="D4" s="4"/>
      <c r="E4" s="4"/>
      <c r="F4" s="4"/>
      <c r="G4" s="2"/>
      <c r="H4" s="9"/>
    </row>
    <row r="5" spans="2:8" ht="24.75" customHeight="1" thickTop="1">
      <c r="B5" s="191" t="s">
        <v>3</v>
      </c>
      <c r="C5" s="192"/>
      <c r="D5" s="192"/>
      <c r="E5" s="192"/>
      <c r="F5" s="192"/>
      <c r="G5" s="192"/>
      <c r="H5" s="193"/>
    </row>
    <row r="6" spans="2:8" ht="15.75">
      <c r="B6" s="5" t="s">
        <v>17</v>
      </c>
      <c r="C6" s="194" t="s">
        <v>81</v>
      </c>
      <c r="D6" s="194"/>
      <c r="E6" s="194"/>
      <c r="F6" s="194"/>
      <c r="G6" s="194"/>
      <c r="H6" s="195"/>
    </row>
    <row r="7" spans="2:8" ht="15.75">
      <c r="B7" s="188" t="s">
        <v>181</v>
      </c>
      <c r="C7" s="189"/>
      <c r="D7" s="189"/>
      <c r="E7" s="189"/>
      <c r="F7" s="189"/>
      <c r="G7" s="189"/>
      <c r="H7" s="190"/>
    </row>
    <row r="8" spans="2:8" ht="15.75">
      <c r="B8" s="196" t="s">
        <v>66</v>
      </c>
      <c r="C8" s="194"/>
      <c r="D8" s="194"/>
      <c r="E8" s="194"/>
      <c r="F8" s="194"/>
      <c r="G8" s="194"/>
      <c r="H8" s="195"/>
    </row>
    <row r="9" spans="2:8" ht="3" customHeight="1" thickBot="1">
      <c r="B9" s="6"/>
      <c r="C9" s="7"/>
      <c r="D9" s="7"/>
      <c r="E9" s="7"/>
      <c r="F9" s="7"/>
      <c r="G9" s="8"/>
      <c r="H9" s="9"/>
    </row>
    <row r="10" spans="2:8" s="10" customFormat="1" ht="14.25" customHeight="1" thickTop="1">
      <c r="B10" s="28"/>
      <c r="C10" s="28"/>
      <c r="D10" s="28"/>
      <c r="E10" s="28"/>
      <c r="F10" s="28"/>
      <c r="G10" s="182" t="s">
        <v>11</v>
      </c>
      <c r="H10" s="183"/>
    </row>
    <row r="11" spans="2:8" s="13" customFormat="1" ht="13.5" thickBot="1">
      <c r="B11" s="11" t="s">
        <v>0</v>
      </c>
      <c r="C11" s="11" t="s">
        <v>10</v>
      </c>
      <c r="D11" s="11" t="s">
        <v>88</v>
      </c>
      <c r="E11" s="11" t="s">
        <v>4</v>
      </c>
      <c r="F11" s="11" t="s">
        <v>1</v>
      </c>
      <c r="G11" s="184" t="s">
        <v>16</v>
      </c>
      <c r="H11" s="185"/>
    </row>
    <row r="12" spans="2:8" s="13" customFormat="1" ht="14.25" thickBot="1" thickTop="1">
      <c r="B12" s="14"/>
      <c r="C12" s="14" t="s">
        <v>15</v>
      </c>
      <c r="D12" s="14" t="s">
        <v>89</v>
      </c>
      <c r="E12" s="14"/>
      <c r="F12" s="14"/>
      <c r="G12" s="29" t="s">
        <v>5</v>
      </c>
      <c r="H12" s="12" t="s">
        <v>2</v>
      </c>
    </row>
    <row r="13" spans="2:8" s="50" customFormat="1" ht="17.25" customHeight="1" thickTop="1">
      <c r="B13" s="153">
        <v>1</v>
      </c>
      <c r="C13" s="154" t="s">
        <v>135</v>
      </c>
      <c r="D13" s="154"/>
      <c r="E13" s="101"/>
      <c r="F13" s="155"/>
      <c r="G13" s="156"/>
      <c r="H13" s="157"/>
    </row>
    <row r="14" spans="2:8" ht="12.75">
      <c r="B14" s="213" t="s">
        <v>9</v>
      </c>
      <c r="C14" s="49" t="s">
        <v>147</v>
      </c>
      <c r="D14" s="214" t="s">
        <v>119</v>
      </c>
      <c r="E14" s="147">
        <v>2</v>
      </c>
      <c r="F14" s="214" t="s">
        <v>68</v>
      </c>
      <c r="G14" s="151">
        <v>2318.67</v>
      </c>
      <c r="H14" s="149">
        <f>E14*G14</f>
        <v>4637.34</v>
      </c>
    </row>
    <row r="15" spans="2:8" ht="12.75">
      <c r="B15" s="213" t="s">
        <v>124</v>
      </c>
      <c r="C15" s="49" t="s">
        <v>148</v>
      </c>
      <c r="D15" s="214" t="s">
        <v>136</v>
      </c>
      <c r="E15" s="147">
        <v>1075.75</v>
      </c>
      <c r="F15" s="214" t="s">
        <v>19</v>
      </c>
      <c r="G15" s="151">
        <v>9.5</v>
      </c>
      <c r="H15" s="149">
        <f aca="true" t="shared" si="0" ref="H15:H20">E15*G15</f>
        <v>10219.625</v>
      </c>
    </row>
    <row r="16" spans="2:8" ht="25.5">
      <c r="B16" s="213" t="s">
        <v>125</v>
      </c>
      <c r="C16" s="215" t="s">
        <v>137</v>
      </c>
      <c r="D16" s="214" t="s">
        <v>138</v>
      </c>
      <c r="E16" s="147">
        <f>E15</f>
        <v>1075.75</v>
      </c>
      <c r="F16" s="214" t="s">
        <v>19</v>
      </c>
      <c r="G16" s="151">
        <v>2.28</v>
      </c>
      <c r="H16" s="149">
        <f t="shared" si="0"/>
        <v>2452.7099999999996</v>
      </c>
    </row>
    <row r="17" spans="2:9" ht="12.75">
      <c r="B17" s="213" t="s">
        <v>143</v>
      </c>
      <c r="C17" s="215" t="s">
        <v>141</v>
      </c>
      <c r="D17" s="214" t="s">
        <v>142</v>
      </c>
      <c r="E17" s="147">
        <f>E18</f>
        <v>323.52125</v>
      </c>
      <c r="F17" s="214" t="s">
        <v>97</v>
      </c>
      <c r="G17" s="151">
        <v>2.79</v>
      </c>
      <c r="H17" s="149">
        <f t="shared" si="0"/>
        <v>902.6242875</v>
      </c>
      <c r="I17" s="148"/>
    </row>
    <row r="18" spans="2:8" ht="12.75">
      <c r="B18" s="213" t="s">
        <v>144</v>
      </c>
      <c r="C18" s="215" t="s">
        <v>139</v>
      </c>
      <c r="D18" s="214" t="s">
        <v>140</v>
      </c>
      <c r="E18" s="147">
        <f>((E15*0.15)+E28)*1.3</f>
        <v>323.52125</v>
      </c>
      <c r="F18" s="214" t="s">
        <v>97</v>
      </c>
      <c r="G18" s="151">
        <v>4.68</v>
      </c>
      <c r="H18" s="149">
        <f t="shared" si="0"/>
        <v>1514.07945</v>
      </c>
    </row>
    <row r="19" spans="2:8" ht="12.75">
      <c r="B19" s="213" t="s">
        <v>145</v>
      </c>
      <c r="C19" s="49" t="s">
        <v>120</v>
      </c>
      <c r="D19" s="214" t="s">
        <v>121</v>
      </c>
      <c r="E19" s="147">
        <v>1224.2</v>
      </c>
      <c r="F19" s="214" t="s">
        <v>19</v>
      </c>
      <c r="G19" s="151">
        <v>1.98</v>
      </c>
      <c r="H19" s="149">
        <f t="shared" si="0"/>
        <v>2423.916</v>
      </c>
    </row>
    <row r="20" spans="2:8" ht="12.75">
      <c r="B20" s="213" t="s">
        <v>146</v>
      </c>
      <c r="C20" s="49" t="s">
        <v>123</v>
      </c>
      <c r="D20" s="214" t="s">
        <v>122</v>
      </c>
      <c r="E20" s="147">
        <f>E19*0.1</f>
        <v>122.42000000000002</v>
      </c>
      <c r="F20" s="214" t="s">
        <v>97</v>
      </c>
      <c r="G20" s="151">
        <v>115.68</v>
      </c>
      <c r="H20" s="149">
        <f t="shared" si="0"/>
        <v>14161.545600000003</v>
      </c>
    </row>
    <row r="21" spans="2:8" ht="24" customHeight="1">
      <c r="B21" s="22"/>
      <c r="C21" s="67" t="s">
        <v>44</v>
      </c>
      <c r="D21" s="67"/>
      <c r="E21" s="68"/>
      <c r="F21" s="144"/>
      <c r="G21" s="69"/>
      <c r="H21" s="70">
        <f>SUM(H14:H20)</f>
        <v>36311.840337500005</v>
      </c>
    </row>
    <row r="22" spans="2:8" s="50" customFormat="1" ht="17.25" customHeight="1">
      <c r="B22" s="52">
        <v>2</v>
      </c>
      <c r="C22" s="140" t="s">
        <v>55</v>
      </c>
      <c r="D22" s="140"/>
      <c r="E22" s="53"/>
      <c r="F22" s="54"/>
      <c r="G22" s="55"/>
      <c r="H22" s="56"/>
    </row>
    <row r="23" spans="2:8" s="50" customFormat="1" ht="25.5">
      <c r="B23" s="167" t="s">
        <v>45</v>
      </c>
      <c r="C23" s="215" t="s">
        <v>92</v>
      </c>
      <c r="D23" s="177" t="s">
        <v>93</v>
      </c>
      <c r="E23" s="20">
        <v>1</v>
      </c>
      <c r="F23" s="143" t="s">
        <v>94</v>
      </c>
      <c r="G23" s="32">
        <v>9000</v>
      </c>
      <c r="H23" s="178">
        <f aca="true" t="shared" si="1" ref="H23:H31">E23*G23</f>
        <v>9000</v>
      </c>
    </row>
    <row r="24" spans="2:8" ht="15">
      <c r="B24" s="167" t="s">
        <v>69</v>
      </c>
      <c r="C24" s="215" t="s">
        <v>182</v>
      </c>
      <c r="D24" s="177" t="s">
        <v>91</v>
      </c>
      <c r="E24" s="66">
        <f>9*16</f>
        <v>144</v>
      </c>
      <c r="F24" s="143" t="s">
        <v>18</v>
      </c>
      <c r="G24" s="32">
        <v>36.6</v>
      </c>
      <c r="H24" s="21">
        <f t="shared" si="1"/>
        <v>5270.400000000001</v>
      </c>
    </row>
    <row r="25" spans="2:10" ht="15">
      <c r="B25" s="167" t="s">
        <v>70</v>
      </c>
      <c r="C25" s="216" t="s">
        <v>183</v>
      </c>
      <c r="D25" s="177" t="s">
        <v>95</v>
      </c>
      <c r="E25" s="66">
        <f>48*16</f>
        <v>768</v>
      </c>
      <c r="F25" s="143" t="s">
        <v>18</v>
      </c>
      <c r="G25" s="32">
        <v>37.73</v>
      </c>
      <c r="H25" s="21">
        <f t="shared" si="1"/>
        <v>28976.64</v>
      </c>
      <c r="J25" s="148"/>
    </row>
    <row r="26" spans="2:9" ht="15">
      <c r="B26" s="167" t="s">
        <v>71</v>
      </c>
      <c r="C26" s="216" t="s">
        <v>184</v>
      </c>
      <c r="D26" s="177" t="s">
        <v>96</v>
      </c>
      <c r="E26" s="66">
        <f>16*17</f>
        <v>272</v>
      </c>
      <c r="F26" s="143" t="s">
        <v>18</v>
      </c>
      <c r="G26" s="32">
        <v>41.92</v>
      </c>
      <c r="H26" s="21">
        <f t="shared" si="1"/>
        <v>11402.24</v>
      </c>
      <c r="I26" s="148"/>
    </row>
    <row r="27" spans="2:10" ht="15">
      <c r="B27" s="167" t="s">
        <v>72</v>
      </c>
      <c r="C27" s="215" t="s">
        <v>99</v>
      </c>
      <c r="D27" s="177" t="s">
        <v>100</v>
      </c>
      <c r="E27" s="66">
        <v>1065.4</v>
      </c>
      <c r="F27" s="143" t="s">
        <v>101</v>
      </c>
      <c r="G27" s="32">
        <v>6.83</v>
      </c>
      <c r="H27" s="21">
        <f t="shared" si="1"/>
        <v>7276.682000000001</v>
      </c>
      <c r="J27" s="148"/>
    </row>
    <row r="28" spans="2:8" ht="15">
      <c r="B28" s="167" t="s">
        <v>116</v>
      </c>
      <c r="C28" s="215" t="s">
        <v>102</v>
      </c>
      <c r="D28" s="177" t="s">
        <v>103</v>
      </c>
      <c r="E28" s="66">
        <v>87.5</v>
      </c>
      <c r="F28" s="143" t="s">
        <v>97</v>
      </c>
      <c r="G28" s="32">
        <v>313.37</v>
      </c>
      <c r="H28" s="21">
        <f t="shared" si="1"/>
        <v>27419.875</v>
      </c>
    </row>
    <row r="29" spans="2:8" ht="25.5">
      <c r="B29" s="167" t="s">
        <v>117</v>
      </c>
      <c r="C29" s="215" t="s">
        <v>149</v>
      </c>
      <c r="D29" s="177" t="s">
        <v>98</v>
      </c>
      <c r="E29" s="66">
        <f>3*0.46</f>
        <v>1.3800000000000001</v>
      </c>
      <c r="F29" s="143" t="s">
        <v>97</v>
      </c>
      <c r="G29" s="32">
        <v>2205.97</v>
      </c>
      <c r="H29" s="21">
        <f t="shared" si="1"/>
        <v>3044.2386</v>
      </c>
    </row>
    <row r="30" spans="2:8" ht="25.5">
      <c r="B30" s="167" t="s">
        <v>118</v>
      </c>
      <c r="C30" s="215" t="s">
        <v>150</v>
      </c>
      <c r="D30" s="177" t="s">
        <v>98</v>
      </c>
      <c r="E30" s="66">
        <f>18*1.45</f>
        <v>26.099999999999998</v>
      </c>
      <c r="F30" s="143" t="s">
        <v>97</v>
      </c>
      <c r="G30" s="32">
        <v>2205.97</v>
      </c>
      <c r="H30" s="21">
        <f t="shared" si="1"/>
        <v>57575.81699999999</v>
      </c>
    </row>
    <row r="31" spans="2:8" ht="25.5">
      <c r="B31" s="167" t="s">
        <v>171</v>
      </c>
      <c r="C31" s="215" t="s">
        <v>151</v>
      </c>
      <c r="D31" s="177" t="s">
        <v>98</v>
      </c>
      <c r="E31" s="66">
        <f>2.32*4</f>
        <v>9.28</v>
      </c>
      <c r="F31" s="143" t="s">
        <v>97</v>
      </c>
      <c r="G31" s="32">
        <v>2205.97</v>
      </c>
      <c r="H31" s="21">
        <f t="shared" si="1"/>
        <v>20471.401599999997</v>
      </c>
    </row>
    <row r="32" spans="2:9" ht="24" customHeight="1">
      <c r="B32" s="22"/>
      <c r="C32" s="67" t="s">
        <v>44</v>
      </c>
      <c r="D32" s="67"/>
      <c r="E32" s="180"/>
      <c r="F32" s="144"/>
      <c r="G32" s="69"/>
      <c r="H32" s="70">
        <f>SUM(H23:H31)</f>
        <v>170437.2942</v>
      </c>
      <c r="I32" s="148">
        <f>H32*1.2034</f>
        <v>205104.23984028</v>
      </c>
    </row>
    <row r="33" spans="2:8" s="50" customFormat="1" ht="17.25" customHeight="1">
      <c r="B33" s="52">
        <v>3</v>
      </c>
      <c r="C33" s="140" t="s">
        <v>178</v>
      </c>
      <c r="D33" s="140"/>
      <c r="E33" s="53"/>
      <c r="F33" s="145"/>
      <c r="G33" s="55"/>
      <c r="H33" s="56"/>
    </row>
    <row r="34" spans="2:8" ht="13.5" customHeight="1">
      <c r="B34" s="22" t="s">
        <v>46</v>
      </c>
      <c r="C34" s="216" t="s">
        <v>152</v>
      </c>
      <c r="D34" s="177" t="s">
        <v>98</v>
      </c>
      <c r="E34" s="164">
        <f>(0.35*0.5*11)*4</f>
        <v>7.699999999999999</v>
      </c>
      <c r="F34" s="143" t="s">
        <v>97</v>
      </c>
      <c r="G34" s="32">
        <v>2205.97</v>
      </c>
      <c r="H34" s="149">
        <f aca="true" t="shared" si="2" ref="H34:H39">E34*G34</f>
        <v>16985.968999999997</v>
      </c>
    </row>
    <row r="35" spans="2:8" ht="13.5" customHeight="1">
      <c r="B35" s="22" t="s">
        <v>126</v>
      </c>
      <c r="C35" s="216" t="s">
        <v>153</v>
      </c>
      <c r="D35" s="177" t="s">
        <v>98</v>
      </c>
      <c r="E35" s="164">
        <f>(0.35*0.5*12)*8</f>
        <v>16.799999999999997</v>
      </c>
      <c r="F35" s="143" t="s">
        <v>97</v>
      </c>
      <c r="G35" s="32">
        <v>2205.97</v>
      </c>
      <c r="H35" s="149">
        <f t="shared" si="2"/>
        <v>37060.29599999999</v>
      </c>
    </row>
    <row r="36" spans="2:8" ht="13.5" customHeight="1">
      <c r="B36" s="22" t="s">
        <v>127</v>
      </c>
      <c r="C36" s="216" t="s">
        <v>170</v>
      </c>
      <c r="D36" s="177" t="s">
        <v>98</v>
      </c>
      <c r="E36" s="164">
        <f>(0.35*0.6*12)*2</f>
        <v>5.04</v>
      </c>
      <c r="F36" s="143" t="s">
        <v>97</v>
      </c>
      <c r="G36" s="32">
        <v>2205.97</v>
      </c>
      <c r="H36" s="149">
        <f>E36*G36</f>
        <v>11118.0888</v>
      </c>
    </row>
    <row r="37" spans="2:8" ht="13.5" customHeight="1">
      <c r="B37" s="22" t="s">
        <v>128</v>
      </c>
      <c r="C37" s="216" t="s">
        <v>104</v>
      </c>
      <c r="D37" s="177" t="s">
        <v>98</v>
      </c>
      <c r="E37" s="164">
        <f>(0.35*0.8*19)*4</f>
        <v>21.279999999999998</v>
      </c>
      <c r="F37" s="143" t="s">
        <v>97</v>
      </c>
      <c r="G37" s="32">
        <v>2205.97</v>
      </c>
      <c r="H37" s="149">
        <f t="shared" si="2"/>
        <v>46943.04159999999</v>
      </c>
    </row>
    <row r="38" spans="2:10" ht="13.5" customHeight="1">
      <c r="B38" s="22" t="s">
        <v>129</v>
      </c>
      <c r="C38" s="216" t="s">
        <v>155</v>
      </c>
      <c r="D38" s="177" t="s">
        <v>98</v>
      </c>
      <c r="E38" s="164">
        <v>2.28</v>
      </c>
      <c r="F38" s="143" t="s">
        <v>97</v>
      </c>
      <c r="G38" s="32">
        <v>2205.97</v>
      </c>
      <c r="H38" s="149">
        <f t="shared" si="2"/>
        <v>5029.611599999999</v>
      </c>
      <c r="I38" s="148"/>
      <c r="J38" s="148">
        <f>G38*1.2034</f>
        <v>2654.6642979999997</v>
      </c>
    </row>
    <row r="39" spans="2:9" ht="13.5" customHeight="1">
      <c r="B39" s="22" t="s">
        <v>130</v>
      </c>
      <c r="C39" s="216" t="s">
        <v>154</v>
      </c>
      <c r="D39" s="177" t="s">
        <v>98</v>
      </c>
      <c r="E39" s="164">
        <v>17.1</v>
      </c>
      <c r="F39" s="143" t="s">
        <v>97</v>
      </c>
      <c r="G39" s="32">
        <v>2205.97</v>
      </c>
      <c r="H39" s="149">
        <f t="shared" si="2"/>
        <v>37722.087</v>
      </c>
      <c r="I39" s="148"/>
    </row>
    <row r="40" spans="2:9" ht="24" customHeight="1">
      <c r="B40" s="22"/>
      <c r="C40" s="67" t="s">
        <v>40</v>
      </c>
      <c r="D40" s="67"/>
      <c r="E40" s="68"/>
      <c r="F40" s="144"/>
      <c r="G40" s="69"/>
      <c r="H40" s="70">
        <f>SUM(H34:H39)</f>
        <v>154859.09399999998</v>
      </c>
      <c r="I40" s="148">
        <f>H40*1.2034</f>
        <v>186357.43371959997</v>
      </c>
    </row>
    <row r="41" spans="2:8" s="50" customFormat="1" ht="17.25" customHeight="1">
      <c r="B41" s="52">
        <v>4</v>
      </c>
      <c r="C41" s="140" t="s">
        <v>56</v>
      </c>
      <c r="D41" s="140"/>
      <c r="E41" s="53"/>
      <c r="F41" s="145"/>
      <c r="G41" s="55"/>
      <c r="H41" s="56"/>
    </row>
    <row r="42" spans="2:8" ht="12.75">
      <c r="B42" s="22" t="s">
        <v>47</v>
      </c>
      <c r="C42" s="215" t="s">
        <v>57</v>
      </c>
      <c r="D42" s="215" t="s">
        <v>131</v>
      </c>
      <c r="E42" s="142">
        <v>961.6423999999998</v>
      </c>
      <c r="F42" s="143" t="s">
        <v>19</v>
      </c>
      <c r="G42" s="32">
        <v>30.08</v>
      </c>
      <c r="H42" s="21">
        <f>E42*G42</f>
        <v>28926.203391999992</v>
      </c>
    </row>
    <row r="43" spans="2:9" ht="24" customHeight="1">
      <c r="B43" s="172" t="s">
        <v>48</v>
      </c>
      <c r="C43" s="215" t="s">
        <v>156</v>
      </c>
      <c r="D43" s="169" t="s">
        <v>98</v>
      </c>
      <c r="E43" s="147">
        <v>10.4</v>
      </c>
      <c r="F43" s="168" t="s">
        <v>97</v>
      </c>
      <c r="G43" s="170">
        <v>2205.97</v>
      </c>
      <c r="H43" s="171">
        <f>E43*G43</f>
        <v>22942.088</v>
      </c>
      <c r="I43" s="148"/>
    </row>
    <row r="44" spans="2:8" ht="13.5" customHeight="1">
      <c r="B44" s="22" t="s">
        <v>49</v>
      </c>
      <c r="C44" s="216" t="s">
        <v>58</v>
      </c>
      <c r="D44" s="49" t="s">
        <v>105</v>
      </c>
      <c r="E44" s="66">
        <v>56.16</v>
      </c>
      <c r="F44" s="143" t="s">
        <v>18</v>
      </c>
      <c r="G44" s="32">
        <v>15.3</v>
      </c>
      <c r="H44" s="21">
        <f>E44*G44</f>
        <v>859.2479999999999</v>
      </c>
    </row>
    <row r="45" spans="2:8" ht="13.5" customHeight="1">
      <c r="B45" s="22" t="s">
        <v>157</v>
      </c>
      <c r="C45" s="216" t="s">
        <v>158</v>
      </c>
      <c r="D45" s="177" t="s">
        <v>98</v>
      </c>
      <c r="E45" s="66">
        <v>1.83</v>
      </c>
      <c r="F45" s="168" t="s">
        <v>97</v>
      </c>
      <c r="G45" s="170">
        <v>2205.97</v>
      </c>
      <c r="H45" s="21">
        <f>E45*G45</f>
        <v>4036.9251</v>
      </c>
    </row>
    <row r="46" spans="2:9" ht="24" customHeight="1">
      <c r="B46" s="22"/>
      <c r="C46" s="67" t="s">
        <v>40</v>
      </c>
      <c r="D46" s="67"/>
      <c r="E46" s="68"/>
      <c r="F46" s="144"/>
      <c r="G46" s="69"/>
      <c r="H46" s="70">
        <f>SUM(H42:H44)</f>
        <v>52727.53939199999</v>
      </c>
      <c r="I46" s="148">
        <f>H46*1.2034</f>
        <v>63452.32090433279</v>
      </c>
    </row>
    <row r="47" spans="2:8" s="50" customFormat="1" ht="17.25" customHeight="1">
      <c r="B47" s="52">
        <v>5</v>
      </c>
      <c r="C47" s="140" t="s">
        <v>59</v>
      </c>
      <c r="D47" s="140"/>
      <c r="E47" s="53"/>
      <c r="F47" s="145"/>
      <c r="G47" s="55"/>
      <c r="H47" s="56"/>
    </row>
    <row r="48" spans="2:9" ht="13.5" customHeight="1">
      <c r="B48" s="22" t="s">
        <v>50</v>
      </c>
      <c r="C48" s="216" t="s">
        <v>159</v>
      </c>
      <c r="D48" s="174" t="s">
        <v>98</v>
      </c>
      <c r="E48" s="164">
        <f>(0.3*0.3*5)*4</f>
        <v>1.7999999999999998</v>
      </c>
      <c r="F48" s="143" t="s">
        <v>97</v>
      </c>
      <c r="G48" s="32">
        <v>2205.97</v>
      </c>
      <c r="H48" s="21">
        <f>E48*G48</f>
        <v>3970.745999999999</v>
      </c>
      <c r="I48" s="148"/>
    </row>
    <row r="49" spans="2:9" ht="13.5" customHeight="1">
      <c r="B49" s="22" t="s">
        <v>51</v>
      </c>
      <c r="C49" s="216" t="s">
        <v>160</v>
      </c>
      <c r="D49" s="174" t="s">
        <v>98</v>
      </c>
      <c r="E49" s="164">
        <f>(0.35*0.6*5)*4</f>
        <v>4.2</v>
      </c>
      <c r="F49" s="143" t="s">
        <v>97</v>
      </c>
      <c r="G49" s="32">
        <v>2205.97</v>
      </c>
      <c r="H49" s="21">
        <f>E49*G49</f>
        <v>9265.073999999999</v>
      </c>
      <c r="I49" s="148"/>
    </row>
    <row r="50" spans="2:11" ht="13.5" customHeight="1">
      <c r="B50" s="22" t="s">
        <v>52</v>
      </c>
      <c r="C50" s="217" t="s">
        <v>164</v>
      </c>
      <c r="D50" s="174" t="s">
        <v>98</v>
      </c>
      <c r="E50" s="164">
        <f>0.86*0.8*39.64</f>
        <v>27.272320000000004</v>
      </c>
      <c r="F50" s="143" t="s">
        <v>97</v>
      </c>
      <c r="G50" s="32">
        <v>2205.97</v>
      </c>
      <c r="H50" s="21">
        <f aca="true" t="shared" si="3" ref="H50:H57">E50*G50</f>
        <v>60161.919750400004</v>
      </c>
      <c r="I50" s="148"/>
      <c r="J50" s="179"/>
      <c r="K50" s="148"/>
    </row>
    <row r="51" spans="2:9" ht="13.5" customHeight="1">
      <c r="B51" s="22" t="s">
        <v>73</v>
      </c>
      <c r="C51" s="217" t="s">
        <v>161</v>
      </c>
      <c r="D51" s="174" t="s">
        <v>98</v>
      </c>
      <c r="E51" s="164">
        <f>0.3*0.5*24.22</f>
        <v>3.6329999999999996</v>
      </c>
      <c r="F51" s="143" t="s">
        <v>97</v>
      </c>
      <c r="G51" s="32">
        <v>2205.97</v>
      </c>
      <c r="H51" s="21">
        <f t="shared" si="3"/>
        <v>8014.289009999999</v>
      </c>
      <c r="I51" s="148"/>
    </row>
    <row r="52" spans="2:9" ht="13.5" customHeight="1">
      <c r="B52" s="22" t="s">
        <v>74</v>
      </c>
      <c r="C52" s="217" t="s">
        <v>162</v>
      </c>
      <c r="D52" s="174" t="s">
        <v>98</v>
      </c>
      <c r="E52" s="164">
        <f>0.3*0.6*12.6</f>
        <v>2.268</v>
      </c>
      <c r="F52" s="143" t="s">
        <v>97</v>
      </c>
      <c r="G52" s="32">
        <v>2205.97</v>
      </c>
      <c r="H52" s="21">
        <f>E52*G52</f>
        <v>5003.1399599999995</v>
      </c>
      <c r="I52" s="148"/>
    </row>
    <row r="53" spans="2:10" ht="13.5" customHeight="1">
      <c r="B53" s="22" t="s">
        <v>75</v>
      </c>
      <c r="C53" s="217" t="s">
        <v>163</v>
      </c>
      <c r="D53" s="174" t="s">
        <v>98</v>
      </c>
      <c r="E53" s="164">
        <f>0.4*0.8*98.58</f>
        <v>31.545600000000004</v>
      </c>
      <c r="F53" s="143" t="s">
        <v>97</v>
      </c>
      <c r="G53" s="32">
        <v>2205.97</v>
      </c>
      <c r="H53" s="21">
        <f t="shared" si="3"/>
        <v>69588.647232</v>
      </c>
      <c r="I53" s="148"/>
      <c r="J53" s="148"/>
    </row>
    <row r="54" spans="2:9" ht="13.5" customHeight="1">
      <c r="B54" s="22" t="s">
        <v>76</v>
      </c>
      <c r="C54" s="216" t="s">
        <v>132</v>
      </c>
      <c r="D54" s="175" t="s">
        <v>115</v>
      </c>
      <c r="E54" s="164">
        <v>951.58</v>
      </c>
      <c r="F54" s="165" t="s">
        <v>19</v>
      </c>
      <c r="G54" s="164">
        <v>188.18</v>
      </c>
      <c r="H54" s="166">
        <f t="shared" si="3"/>
        <v>179068.3244</v>
      </c>
      <c r="I54" s="148"/>
    </row>
    <row r="55" spans="2:9" ht="13.5" customHeight="1">
      <c r="B55" s="22" t="s">
        <v>134</v>
      </c>
      <c r="C55" s="216" t="s">
        <v>106</v>
      </c>
      <c r="D55" s="174" t="s">
        <v>107</v>
      </c>
      <c r="E55" s="146">
        <f>E54*2.2</f>
        <v>2093.476</v>
      </c>
      <c r="F55" s="147" t="s">
        <v>101</v>
      </c>
      <c r="G55" s="151">
        <v>7.29</v>
      </c>
      <c r="H55" s="21">
        <f t="shared" si="3"/>
        <v>15261.440040000001</v>
      </c>
      <c r="I55" s="148"/>
    </row>
    <row r="56" spans="2:9" ht="13.5" customHeight="1">
      <c r="B56" s="22" t="s">
        <v>172</v>
      </c>
      <c r="C56" s="216" t="s">
        <v>108</v>
      </c>
      <c r="D56" s="174" t="s">
        <v>109</v>
      </c>
      <c r="E56" s="146">
        <f>E54</f>
        <v>951.58</v>
      </c>
      <c r="F56" s="147" t="s">
        <v>19</v>
      </c>
      <c r="G56" s="151">
        <v>13.52</v>
      </c>
      <c r="H56" s="21">
        <f t="shared" si="3"/>
        <v>12865.3616</v>
      </c>
      <c r="I56" s="148"/>
    </row>
    <row r="57" spans="2:9" ht="13.5" customHeight="1">
      <c r="B57" s="22" t="s">
        <v>173</v>
      </c>
      <c r="C57" s="216" t="s">
        <v>67</v>
      </c>
      <c r="D57" s="176" t="s">
        <v>98</v>
      </c>
      <c r="E57" s="146">
        <v>5.82</v>
      </c>
      <c r="F57" s="143" t="s">
        <v>97</v>
      </c>
      <c r="G57" s="32">
        <v>2205.97</v>
      </c>
      <c r="H57" s="21">
        <f t="shared" si="3"/>
        <v>12838.7454</v>
      </c>
      <c r="I57" s="148"/>
    </row>
    <row r="58" spans="2:9" ht="13.5" customHeight="1">
      <c r="B58" s="22"/>
      <c r="C58" s="67" t="s">
        <v>40</v>
      </c>
      <c r="D58" s="67"/>
      <c r="E58" s="68"/>
      <c r="F58" s="144"/>
      <c r="G58" s="69"/>
      <c r="H58" s="70">
        <f>SUM(H48:H57)</f>
        <v>376037.68739240005</v>
      </c>
      <c r="I58" s="148">
        <f>H58*1.2034</f>
        <v>452523.75300801423</v>
      </c>
    </row>
    <row r="59" spans="2:10" ht="13.5" customHeight="1">
      <c r="B59" s="52">
        <v>6</v>
      </c>
      <c r="C59" s="140" t="s">
        <v>60</v>
      </c>
      <c r="D59" s="140"/>
      <c r="E59" s="53"/>
      <c r="F59" s="145"/>
      <c r="G59" s="55"/>
      <c r="H59" s="56"/>
      <c r="I59" s="148"/>
      <c r="J59" s="148"/>
    </row>
    <row r="60" spans="2:8" ht="25.5">
      <c r="B60" s="172" t="s">
        <v>53</v>
      </c>
      <c r="C60" s="215" t="s">
        <v>112</v>
      </c>
      <c r="D60" s="169" t="s">
        <v>113</v>
      </c>
      <c r="E60" s="142">
        <v>1004.5</v>
      </c>
      <c r="F60" s="141" t="s">
        <v>19</v>
      </c>
      <c r="G60" s="32">
        <v>126.4</v>
      </c>
      <c r="H60" s="21">
        <f>E60*G60</f>
        <v>126968.8</v>
      </c>
    </row>
    <row r="61" spans="2:9" ht="12.75">
      <c r="B61" s="172" t="s">
        <v>77</v>
      </c>
      <c r="C61" s="216" t="s">
        <v>133</v>
      </c>
      <c r="D61" s="169" t="s">
        <v>114</v>
      </c>
      <c r="E61" s="66">
        <v>140.48</v>
      </c>
      <c r="F61" s="143" t="s">
        <v>18</v>
      </c>
      <c r="G61" s="32">
        <v>90.37</v>
      </c>
      <c r="H61" s="21">
        <f>E61*G61</f>
        <v>12695.177599999999</v>
      </c>
      <c r="I61" s="148"/>
    </row>
    <row r="62" spans="2:8" s="50" customFormat="1" ht="25.5">
      <c r="B62" s="172" t="s">
        <v>78</v>
      </c>
      <c r="C62" s="215" t="s">
        <v>61</v>
      </c>
      <c r="D62" s="169" t="s">
        <v>90</v>
      </c>
      <c r="E62" s="142">
        <v>10.11</v>
      </c>
      <c r="F62" s="141" t="s">
        <v>18</v>
      </c>
      <c r="G62" s="32">
        <v>518.58</v>
      </c>
      <c r="H62" s="21">
        <f>E62*G62</f>
        <v>5242.843800000001</v>
      </c>
    </row>
    <row r="63" spans="2:16" ht="24" customHeight="1">
      <c r="B63" s="22"/>
      <c r="C63" s="67" t="s">
        <v>40</v>
      </c>
      <c r="D63" s="67"/>
      <c r="E63" s="68"/>
      <c r="F63" s="144"/>
      <c r="G63" s="69"/>
      <c r="H63" s="70">
        <f>SUM(H60:H62)</f>
        <v>144906.82140000002</v>
      </c>
      <c r="I63" s="148">
        <f>H63*1.2034</f>
        <v>174380.86887276</v>
      </c>
      <c r="K63" s="186"/>
      <c r="L63" s="186"/>
      <c r="M63" s="186"/>
      <c r="N63" s="186"/>
      <c r="O63" s="186"/>
      <c r="P63" s="186"/>
    </row>
    <row r="64" spans="2:16" ht="13.5" customHeight="1">
      <c r="B64" s="52">
        <v>7</v>
      </c>
      <c r="C64" s="140" t="s">
        <v>62</v>
      </c>
      <c r="D64" s="140"/>
      <c r="E64" s="53"/>
      <c r="F64" s="145"/>
      <c r="G64" s="55"/>
      <c r="H64" s="56"/>
      <c r="K64" s="152"/>
      <c r="L64" s="152"/>
      <c r="M64" s="152"/>
      <c r="N64" s="152"/>
      <c r="O64" s="152"/>
      <c r="P64" s="152"/>
    </row>
    <row r="65" spans="2:16" ht="25.5">
      <c r="B65" s="22" t="s">
        <v>54</v>
      </c>
      <c r="C65" s="215" t="s">
        <v>165</v>
      </c>
      <c r="D65" s="150" t="s">
        <v>98</v>
      </c>
      <c r="E65" s="66">
        <f>(10*1.25*0.12)*9</f>
        <v>13.5</v>
      </c>
      <c r="F65" s="143" t="s">
        <v>97</v>
      </c>
      <c r="G65" s="32">
        <v>2205.97</v>
      </c>
      <c r="H65" s="21">
        <f>E65*G65</f>
        <v>29780.594999999998</v>
      </c>
      <c r="K65" s="66">
        <f>(10*1.25)*9</f>
        <v>112.5</v>
      </c>
      <c r="L65" s="152"/>
      <c r="M65" s="152"/>
      <c r="N65" s="152"/>
      <c r="O65" s="152"/>
      <c r="P65" s="152"/>
    </row>
    <row r="66" spans="2:16" ht="25.5">
      <c r="B66" s="22" t="s">
        <v>174</v>
      </c>
      <c r="C66" s="215" t="s">
        <v>166</v>
      </c>
      <c r="D66" s="150" t="s">
        <v>98</v>
      </c>
      <c r="E66" s="66">
        <f>(8*1.75*0.12)*3</f>
        <v>5.04</v>
      </c>
      <c r="F66" s="143" t="s">
        <v>97</v>
      </c>
      <c r="G66" s="32">
        <v>2205.97</v>
      </c>
      <c r="H66" s="21">
        <f>E66*G66</f>
        <v>11118.0888</v>
      </c>
      <c r="K66" s="66">
        <f>(8*1.75)*3</f>
        <v>42</v>
      </c>
      <c r="L66" s="152"/>
      <c r="M66" s="152"/>
      <c r="N66" s="152"/>
      <c r="O66" s="152"/>
      <c r="P66" s="152"/>
    </row>
    <row r="67" spans="2:16" ht="25.5">
      <c r="B67" s="22" t="s">
        <v>175</v>
      </c>
      <c r="C67" s="215" t="s">
        <v>167</v>
      </c>
      <c r="D67" s="150" t="s">
        <v>98</v>
      </c>
      <c r="E67" s="66">
        <f>(10*1.75*0.12)*10</f>
        <v>21</v>
      </c>
      <c r="F67" s="143" t="s">
        <v>97</v>
      </c>
      <c r="G67" s="32">
        <v>2205.97</v>
      </c>
      <c r="H67" s="21">
        <f>E67*G67</f>
        <v>46325.369999999995</v>
      </c>
      <c r="K67" s="66">
        <f>(10*1.75)*10</f>
        <v>175</v>
      </c>
      <c r="L67" s="152"/>
      <c r="M67" s="152"/>
      <c r="N67" s="152"/>
      <c r="O67" s="152"/>
      <c r="P67" s="152"/>
    </row>
    <row r="68" spans="2:16" ht="25.5">
      <c r="B68" s="22" t="s">
        <v>176</v>
      </c>
      <c r="C68" s="215" t="s">
        <v>168</v>
      </c>
      <c r="D68" s="150" t="s">
        <v>98</v>
      </c>
      <c r="E68" s="66">
        <f>(10*2.37*0.12)*14</f>
        <v>39.816</v>
      </c>
      <c r="F68" s="143" t="s">
        <v>97</v>
      </c>
      <c r="G68" s="32">
        <v>2205.97</v>
      </c>
      <c r="H68" s="21">
        <f>E68*G68</f>
        <v>87832.90152</v>
      </c>
      <c r="K68" s="66">
        <f>(10*2.37)*14</f>
        <v>331.80000000000007</v>
      </c>
      <c r="L68" s="152"/>
      <c r="M68" s="152"/>
      <c r="N68" s="152"/>
      <c r="O68" s="152"/>
      <c r="P68" s="152"/>
    </row>
    <row r="69" spans="2:16" ht="25.5">
      <c r="B69" s="22" t="s">
        <v>177</v>
      </c>
      <c r="C69" s="215" t="s">
        <v>169</v>
      </c>
      <c r="D69" s="150" t="s">
        <v>98</v>
      </c>
      <c r="E69" s="66">
        <f>(10*2.52*0.12)*14</f>
        <v>42.336</v>
      </c>
      <c r="F69" s="143" t="s">
        <v>97</v>
      </c>
      <c r="G69" s="32">
        <v>2205.97</v>
      </c>
      <c r="H69" s="21">
        <f>E69*G69</f>
        <v>93391.94591999998</v>
      </c>
      <c r="K69" s="66">
        <f>(10*2.52)*14</f>
        <v>352.8</v>
      </c>
      <c r="L69" s="152"/>
      <c r="M69" s="152"/>
      <c r="N69" s="152"/>
      <c r="O69" s="152"/>
      <c r="P69" s="152"/>
    </row>
    <row r="70" spans="2:16" ht="24" customHeight="1">
      <c r="B70" s="22"/>
      <c r="C70" s="67" t="s">
        <v>40</v>
      </c>
      <c r="D70" s="67"/>
      <c r="E70" s="68"/>
      <c r="F70" s="144"/>
      <c r="G70" s="69"/>
      <c r="H70" s="70">
        <f>SUM(H65:H69)</f>
        <v>268448.90124</v>
      </c>
      <c r="I70" s="148">
        <f>H70*1.2034</f>
        <v>323051.407752216</v>
      </c>
      <c r="K70" s="181">
        <f>SUM(K65:K69)</f>
        <v>1014.1000000000001</v>
      </c>
      <c r="L70" s="152"/>
      <c r="M70" s="152"/>
      <c r="N70" s="152"/>
      <c r="O70" s="152"/>
      <c r="P70" s="152"/>
    </row>
    <row r="71" spans="2:16" s="50" customFormat="1" ht="17.25" customHeight="1">
      <c r="B71" s="52">
        <v>8</v>
      </c>
      <c r="C71" s="140" t="s">
        <v>63</v>
      </c>
      <c r="D71" s="140"/>
      <c r="E71" s="53"/>
      <c r="F71" s="145"/>
      <c r="G71" s="55"/>
      <c r="H71" s="56"/>
      <c r="K71" s="152"/>
      <c r="L71" s="152"/>
      <c r="M71" s="152"/>
      <c r="N71" s="152"/>
      <c r="O71" s="152"/>
      <c r="P71" s="152"/>
    </row>
    <row r="72" spans="2:8" ht="12.75">
      <c r="B72" s="22" t="s">
        <v>79</v>
      </c>
      <c r="C72" s="173" t="s">
        <v>64</v>
      </c>
      <c r="D72" s="150" t="s">
        <v>110</v>
      </c>
      <c r="E72" s="66">
        <v>62.5</v>
      </c>
      <c r="F72" s="143" t="s">
        <v>19</v>
      </c>
      <c r="G72" s="32">
        <v>28.44</v>
      </c>
      <c r="H72" s="21">
        <f>E72*G72</f>
        <v>1777.5</v>
      </c>
    </row>
    <row r="73" spans="2:9" ht="12.75">
      <c r="B73" s="22" t="s">
        <v>80</v>
      </c>
      <c r="C73" s="173" t="s">
        <v>65</v>
      </c>
      <c r="D73" s="150" t="s">
        <v>111</v>
      </c>
      <c r="E73" s="142">
        <v>961.6423999999998</v>
      </c>
      <c r="F73" s="141" t="s">
        <v>19</v>
      </c>
      <c r="G73" s="32">
        <v>30.7</v>
      </c>
      <c r="H73" s="21">
        <f>E73*G73</f>
        <v>29522.421679999996</v>
      </c>
      <c r="I73" s="148"/>
    </row>
    <row r="74" spans="2:9" s="50" customFormat="1" ht="17.25" customHeight="1" thickBot="1">
      <c r="B74" s="158"/>
      <c r="C74" s="159" t="s">
        <v>40</v>
      </c>
      <c r="D74" s="159"/>
      <c r="E74" s="160"/>
      <c r="F74" s="161"/>
      <c r="G74" s="162"/>
      <c r="H74" s="163">
        <f>SUM(H72:H73)</f>
        <v>31299.921679999996</v>
      </c>
      <c r="I74" s="148">
        <f>H74*1.2034</f>
        <v>37666.325749712</v>
      </c>
    </row>
    <row r="75" spans="2:8" ht="13.5" customHeight="1" thickBot="1" thickTop="1">
      <c r="B75" s="71"/>
      <c r="C75" s="72"/>
      <c r="D75" s="72"/>
      <c r="E75" s="73"/>
      <c r="F75" s="74"/>
      <c r="G75" s="218"/>
      <c r="H75" s="75"/>
    </row>
    <row r="76" spans="2:8" ht="15.75" thickBot="1" thickTop="1">
      <c r="B76" s="30"/>
      <c r="C76" s="57" t="s">
        <v>8</v>
      </c>
      <c r="D76" s="57"/>
      <c r="E76" s="57"/>
      <c r="F76" s="57"/>
      <c r="G76" s="58"/>
      <c r="H76" s="31">
        <f>SUM(H21+H32+H40+H46+H58+H63+H70+H74)</f>
        <v>1235029.0996419</v>
      </c>
    </row>
    <row r="77" spans="2:8" ht="24" customHeight="1" thickBot="1" thickTop="1">
      <c r="B77" s="30"/>
      <c r="C77" s="57" t="s">
        <v>41</v>
      </c>
      <c r="D77" s="57"/>
      <c r="E77" s="57"/>
      <c r="F77" s="57"/>
      <c r="G77" s="58"/>
      <c r="H77" s="31">
        <f>H76*0.2034</f>
        <v>251204.91886716246</v>
      </c>
    </row>
    <row r="78" spans="2:8" s="51" customFormat="1" ht="18" customHeight="1" thickBot="1" thickTop="1">
      <c r="B78" s="30"/>
      <c r="C78" s="57" t="s">
        <v>42</v>
      </c>
      <c r="D78" s="57"/>
      <c r="E78" s="57"/>
      <c r="F78" s="57"/>
      <c r="G78" s="58"/>
      <c r="H78" s="31">
        <f>SUM(H76:H77)</f>
        <v>1486234.0185090625</v>
      </c>
    </row>
    <row r="79" spans="2:8" s="15" customFormat="1" ht="24.75" customHeight="1" thickTop="1">
      <c r="B79" s="47"/>
      <c r="C79" s="17"/>
      <c r="D79" s="17"/>
      <c r="E79" s="16"/>
      <c r="F79" s="16"/>
      <c r="G79" s="18"/>
      <c r="H79" s="48"/>
    </row>
    <row r="80" spans="2:8" ht="12.75">
      <c r="B80" s="16"/>
      <c r="C80" s="13"/>
      <c r="D80" s="13"/>
      <c r="E80" s="16"/>
      <c r="F80" s="16"/>
      <c r="G80" s="18"/>
      <c r="H80" s="13"/>
    </row>
    <row r="81" spans="2:8" ht="22.5" customHeight="1">
      <c r="B81" s="16"/>
      <c r="C81" s="13"/>
      <c r="D81" s="13"/>
      <c r="E81" s="16"/>
      <c r="F81" s="16"/>
      <c r="G81" s="18"/>
      <c r="H81" s="13"/>
    </row>
    <row r="82" spans="2:8" ht="15" customHeight="1">
      <c r="B82" s="16"/>
      <c r="C82" s="13"/>
      <c r="D82" s="13"/>
      <c r="E82" s="16"/>
      <c r="F82" s="16"/>
      <c r="G82" s="18"/>
      <c r="H82" s="13"/>
    </row>
    <row r="83" spans="2:8" ht="15" customHeight="1">
      <c r="B83" s="7"/>
      <c r="C83" s="10" t="s">
        <v>12</v>
      </c>
      <c r="D83" s="10"/>
      <c r="E83" s="7" t="s">
        <v>85</v>
      </c>
      <c r="F83" s="7"/>
      <c r="G83" s="7"/>
      <c r="H83" s="10"/>
    </row>
    <row r="84" spans="2:8" ht="12.75">
      <c r="B84" s="7"/>
      <c r="C84" s="33" t="s">
        <v>14</v>
      </c>
      <c r="D84" s="33"/>
      <c r="E84" s="16" t="s">
        <v>84</v>
      </c>
      <c r="F84" s="16"/>
      <c r="G84" s="16"/>
      <c r="H84" s="10"/>
    </row>
    <row r="85" spans="2:8" ht="12.75">
      <c r="B85" s="7"/>
      <c r="C85" s="10" t="s">
        <v>13</v>
      </c>
      <c r="D85" s="10"/>
      <c r="E85" s="7" t="s">
        <v>86</v>
      </c>
      <c r="F85" s="7"/>
      <c r="G85" s="7"/>
      <c r="H85" s="17"/>
    </row>
    <row r="86" spans="2:8" ht="12.75">
      <c r="B86" s="7"/>
      <c r="C86" s="10" t="s">
        <v>22</v>
      </c>
      <c r="D86" s="10"/>
      <c r="E86" s="7" t="s">
        <v>87</v>
      </c>
      <c r="F86" s="7"/>
      <c r="G86" s="7"/>
      <c r="H86" s="17"/>
    </row>
    <row r="87" spans="2:8" ht="12.75">
      <c r="B87" s="7"/>
      <c r="C87" s="10"/>
      <c r="D87" s="10"/>
      <c r="E87" s="7"/>
      <c r="F87" s="7"/>
      <c r="G87" s="7"/>
      <c r="H87" s="10"/>
    </row>
  </sheetData>
  <sheetProtection/>
  <mergeCells count="9">
    <mergeCell ref="G10:H10"/>
    <mergeCell ref="G11:H11"/>
    <mergeCell ref="K63:P63"/>
    <mergeCell ref="C2:G2"/>
    <mergeCell ref="C3:G3"/>
    <mergeCell ref="B7:H7"/>
    <mergeCell ref="B5:H5"/>
    <mergeCell ref="C6:H6"/>
    <mergeCell ref="B8:H8"/>
  </mergeCells>
  <printOptions horizontalCentered="1"/>
  <pageMargins left="0.23622047244094488" right="0.23622047244094488" top="0.9448818897637795" bottom="0.9448818897637795" header="0.31496062992125984" footer="0.31496062992125984"/>
  <pageSetup fitToHeight="0" horizontalDpi="600" verticalDpi="600" orientation="portrait" scale="67" r:id="rId2"/>
  <rowBreaks count="1" manualBreakCount="1">
    <brk id="58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85" zoomScaleNormal="85" zoomScalePageLayoutView="0" workbookViewId="0" topLeftCell="A1">
      <selection activeCell="F34" sqref="F34"/>
    </sheetView>
  </sheetViews>
  <sheetFormatPr defaultColWidth="9.00390625" defaultRowHeight="12.75"/>
  <cols>
    <col min="1" max="1" width="6.140625" style="3" customWidth="1"/>
    <col min="2" max="2" width="50.57421875" style="3" customWidth="1"/>
    <col min="3" max="3" width="9.421875" style="3" customWidth="1"/>
    <col min="4" max="4" width="5.7109375" style="3" customWidth="1"/>
    <col min="5" max="5" width="16.140625" style="3" customWidth="1"/>
    <col min="6" max="6" width="13.421875" style="3" customWidth="1"/>
    <col min="7" max="7" width="13.57421875" style="3" customWidth="1"/>
    <col min="8" max="9" width="14.00390625" style="3" customWidth="1"/>
    <col min="10" max="11" width="14.28125" style="3" customWidth="1"/>
    <col min="12" max="16384" width="9.00390625" style="3" customWidth="1"/>
  </cols>
  <sheetData>
    <row r="1" spans="1:11" ht="19.5" customHeight="1" thickTop="1">
      <c r="A1" s="82"/>
      <c r="B1" s="83"/>
      <c r="C1" s="84"/>
      <c r="D1" s="85"/>
      <c r="E1" s="84"/>
      <c r="F1" s="202" t="s">
        <v>23</v>
      </c>
      <c r="G1" s="199"/>
      <c r="H1" s="199"/>
      <c r="I1" s="199"/>
      <c r="J1" s="199"/>
      <c r="K1" s="203"/>
    </row>
    <row r="2" spans="1:11" ht="18" customHeight="1">
      <c r="A2" s="86"/>
      <c r="B2" s="197" t="s">
        <v>6</v>
      </c>
      <c r="C2" s="197"/>
      <c r="D2" s="197"/>
      <c r="E2" s="197"/>
      <c r="F2" s="204" t="s">
        <v>83</v>
      </c>
      <c r="G2" s="205"/>
      <c r="H2" s="205"/>
      <c r="I2" s="205"/>
      <c r="J2" s="205"/>
      <c r="K2" s="206"/>
    </row>
    <row r="3" spans="1:11" ht="34.5" customHeight="1">
      <c r="A3" s="86"/>
      <c r="B3" s="88" t="s">
        <v>7</v>
      </c>
      <c r="C3" s="88"/>
      <c r="D3" s="88"/>
      <c r="E3" s="88"/>
      <c r="F3" s="207" t="s">
        <v>82</v>
      </c>
      <c r="G3" s="208"/>
      <c r="H3" s="208"/>
      <c r="I3" s="208"/>
      <c r="J3" s="208"/>
      <c r="K3" s="209"/>
    </row>
    <row r="4" spans="1:11" ht="18" customHeight="1" thickBot="1">
      <c r="A4" s="86"/>
      <c r="B4" s="88"/>
      <c r="C4" s="88"/>
      <c r="D4" s="88"/>
      <c r="E4" s="88"/>
      <c r="F4" s="210" t="s">
        <v>179</v>
      </c>
      <c r="G4" s="211"/>
      <c r="H4" s="211"/>
      <c r="I4" s="211"/>
      <c r="J4" s="211"/>
      <c r="K4" s="212"/>
    </row>
    <row r="5" spans="1:13" ht="15" thickTop="1">
      <c r="A5" s="35" t="s">
        <v>0</v>
      </c>
      <c r="B5" s="34" t="s">
        <v>24</v>
      </c>
      <c r="C5" s="89" t="s">
        <v>4</v>
      </c>
      <c r="D5" s="35" t="s">
        <v>25</v>
      </c>
      <c r="E5" s="89" t="s">
        <v>11</v>
      </c>
      <c r="F5" s="198" t="s">
        <v>26</v>
      </c>
      <c r="G5" s="199"/>
      <c r="H5" s="199"/>
      <c r="I5" s="199"/>
      <c r="J5" s="199"/>
      <c r="K5" s="35" t="s">
        <v>2</v>
      </c>
      <c r="L5" s="41"/>
      <c r="M5" s="41"/>
    </row>
    <row r="6" spans="1:11" ht="15" thickBot="1">
      <c r="A6" s="90"/>
      <c r="B6" s="36" t="s">
        <v>27</v>
      </c>
      <c r="C6" s="91"/>
      <c r="D6" s="92"/>
      <c r="E6" s="91" t="s">
        <v>16</v>
      </c>
      <c r="F6" s="200" t="s">
        <v>180</v>
      </c>
      <c r="G6" s="201"/>
      <c r="H6" s="201"/>
      <c r="I6" s="201"/>
      <c r="J6" s="201"/>
      <c r="K6" s="42" t="s">
        <v>16</v>
      </c>
    </row>
    <row r="7" spans="1:11" ht="16.5" thickBot="1" thickTop="1">
      <c r="A7" s="93"/>
      <c r="B7" s="94" t="s">
        <v>28</v>
      </c>
      <c r="C7" s="95"/>
      <c r="D7" s="96"/>
      <c r="E7" s="97"/>
      <c r="F7" s="98" t="s">
        <v>29</v>
      </c>
      <c r="G7" s="98" t="s">
        <v>30</v>
      </c>
      <c r="H7" s="98" t="s">
        <v>37</v>
      </c>
      <c r="I7" s="98" t="s">
        <v>38</v>
      </c>
      <c r="J7" s="98" t="s">
        <v>39</v>
      </c>
      <c r="K7" s="37"/>
    </row>
    <row r="8" spans="1:11" ht="21.75" customHeight="1" thickTop="1">
      <c r="A8" s="99"/>
      <c r="B8" s="100"/>
      <c r="C8" s="101"/>
      <c r="D8" s="102"/>
      <c r="E8" s="103"/>
      <c r="F8" s="104"/>
      <c r="G8" s="104"/>
      <c r="H8" s="104"/>
      <c r="I8" s="104"/>
      <c r="J8" s="104"/>
      <c r="K8" s="38"/>
    </row>
    <row r="9" spans="1:11" s="39" customFormat="1" ht="15.75" customHeight="1">
      <c r="A9" s="80">
        <v>1</v>
      </c>
      <c r="B9" s="76" t="str">
        <f>'orçamento CPOS'!C13</f>
        <v>SERVIÇOS COMPLEMENTARES</v>
      </c>
      <c r="C9" s="105"/>
      <c r="D9" s="106"/>
      <c r="E9" s="107">
        <f>'orçamento CPOS'!H21</f>
        <v>36311.840337500005</v>
      </c>
      <c r="F9" s="107">
        <f>E9</f>
        <v>36311.840337500005</v>
      </c>
      <c r="G9" s="107"/>
      <c r="H9" s="108"/>
      <c r="I9" s="109"/>
      <c r="J9" s="108"/>
      <c r="K9" s="110">
        <f>SUM(F9:J9)</f>
        <v>36311.840337500005</v>
      </c>
    </row>
    <row r="10" spans="1:11" s="39" customFormat="1" ht="4.5" customHeight="1">
      <c r="A10" s="80"/>
      <c r="B10" s="76"/>
      <c r="C10" s="105"/>
      <c r="D10" s="106"/>
      <c r="E10" s="107"/>
      <c r="F10" s="111"/>
      <c r="G10" s="109"/>
      <c r="H10" s="108"/>
      <c r="I10" s="108"/>
      <c r="J10" s="108"/>
      <c r="K10" s="110"/>
    </row>
    <row r="11" spans="1:11" s="39" customFormat="1" ht="15.75" customHeight="1">
      <c r="A11" s="80">
        <v>2</v>
      </c>
      <c r="B11" s="76" t="str">
        <f>'orçamento CPOS'!C22</f>
        <v>FUNDAÇÃO DO GALPÃO</v>
      </c>
      <c r="C11" s="105">
        <v>1</v>
      </c>
      <c r="D11" s="106" t="s">
        <v>31</v>
      </c>
      <c r="E11" s="107">
        <f>'orçamento CPOS'!H32</f>
        <v>170437.2942</v>
      </c>
      <c r="F11" s="107">
        <f>E11</f>
        <v>170437.2942</v>
      </c>
      <c r="G11" s="107"/>
      <c r="H11" s="108"/>
      <c r="I11" s="109"/>
      <c r="J11" s="108"/>
      <c r="K11" s="110">
        <f>SUM(F11:I11)</f>
        <v>170437.2942</v>
      </c>
    </row>
    <row r="12" spans="1:11" s="39" customFormat="1" ht="4.5" customHeight="1">
      <c r="A12" s="80"/>
      <c r="B12" s="76"/>
      <c r="C12" s="105"/>
      <c r="D12" s="106"/>
      <c r="E12" s="107"/>
      <c r="F12" s="111"/>
      <c r="G12" s="109"/>
      <c r="H12" s="108"/>
      <c r="I12" s="108"/>
      <c r="J12" s="108"/>
      <c r="K12" s="110"/>
    </row>
    <row r="13" spans="1:11" s="39" customFormat="1" ht="15.75" customHeight="1">
      <c r="A13" s="80">
        <v>3</v>
      </c>
      <c r="B13" s="77" t="str">
        <f>'orçamento CPOS'!C33</f>
        <v>ESTRUTURA PRE-FABRICADA DE CONCRETO, com vão entre coluna de 10,00m, e pé direito de 8,32m, composto por;</v>
      </c>
      <c r="C13" s="105">
        <v>1</v>
      </c>
      <c r="D13" s="106" t="s">
        <v>31</v>
      </c>
      <c r="E13" s="107">
        <f>'orçamento CPOS'!H40</f>
        <v>154859.09399999998</v>
      </c>
      <c r="F13" s="112"/>
      <c r="G13" s="113">
        <f>E13</f>
        <v>154859.09399999998</v>
      </c>
      <c r="H13" s="113"/>
      <c r="I13" s="109"/>
      <c r="J13" s="109"/>
      <c r="K13" s="110">
        <f>SUM(G13:J13)</f>
        <v>154859.09399999998</v>
      </c>
    </row>
    <row r="14" spans="1:11" s="39" customFormat="1" ht="4.5" customHeight="1">
      <c r="A14" s="80"/>
      <c r="B14" s="76"/>
      <c r="C14" s="105"/>
      <c r="D14" s="106"/>
      <c r="E14" s="107"/>
      <c r="F14" s="109"/>
      <c r="G14" s="111"/>
      <c r="H14" s="109"/>
      <c r="I14" s="108"/>
      <c r="J14" s="108"/>
      <c r="K14" s="110"/>
    </row>
    <row r="15" spans="1:11" ht="15.75" customHeight="1">
      <c r="A15" s="79">
        <v>4</v>
      </c>
      <c r="B15" s="77" t="str">
        <f>'orçamento CPOS'!C41</f>
        <v>COMPLEMENTO DA ESTRUTURA</v>
      </c>
      <c r="C15" s="114">
        <v>1</v>
      </c>
      <c r="D15" s="115" t="s">
        <v>31</v>
      </c>
      <c r="E15" s="116">
        <f>'orçamento CPOS'!H46</f>
        <v>52727.53939199999</v>
      </c>
      <c r="F15" s="117"/>
      <c r="G15" s="113">
        <f>E15</f>
        <v>52727.53939199999</v>
      </c>
      <c r="H15" s="113"/>
      <c r="I15" s="109"/>
      <c r="J15" s="108"/>
      <c r="K15" s="110">
        <f>SUM(F15:G15)</f>
        <v>52727.53939199999</v>
      </c>
    </row>
    <row r="16" spans="1:11" ht="4.5" customHeight="1">
      <c r="A16" s="81"/>
      <c r="B16" s="78"/>
      <c r="C16" s="114"/>
      <c r="D16" s="115"/>
      <c r="E16" s="116"/>
      <c r="F16" s="109"/>
      <c r="G16" s="111"/>
      <c r="H16" s="109"/>
      <c r="I16" s="109"/>
      <c r="J16" s="108"/>
      <c r="K16" s="110"/>
    </row>
    <row r="17" spans="1:11" ht="15.75" customHeight="1">
      <c r="A17" s="79">
        <v>5</v>
      </c>
      <c r="B17" s="77" t="str">
        <f>'orçamento CPOS'!C47</f>
        <v>PAVIMENTO SUPERIOR</v>
      </c>
      <c r="C17" s="114">
        <v>1</v>
      </c>
      <c r="D17" s="115" t="s">
        <v>31</v>
      </c>
      <c r="E17" s="116">
        <f>'orçamento CPOS'!H58</f>
        <v>376037.68739240005</v>
      </c>
      <c r="F17" s="117"/>
      <c r="G17" s="113"/>
      <c r="H17" s="113">
        <f>E17</f>
        <v>376037.68739240005</v>
      </c>
      <c r="I17" s="109"/>
      <c r="J17" s="108"/>
      <c r="K17" s="110">
        <f>SUM(H17:J17)</f>
        <v>376037.68739240005</v>
      </c>
    </row>
    <row r="18" spans="1:11" ht="4.5" customHeight="1">
      <c r="A18" s="81"/>
      <c r="B18" s="78"/>
      <c r="C18" s="114"/>
      <c r="D18" s="115"/>
      <c r="E18" s="116"/>
      <c r="F18" s="118"/>
      <c r="G18" s="119"/>
      <c r="H18" s="111"/>
      <c r="I18" s="109"/>
      <c r="J18" s="108"/>
      <c r="K18" s="110"/>
    </row>
    <row r="19" spans="1:11" ht="15.75" customHeight="1">
      <c r="A19" s="79">
        <v>6</v>
      </c>
      <c r="B19" s="77" t="str">
        <f>'orçamento CPOS'!C59</f>
        <v>COBERTURA DO GALPÃO</v>
      </c>
      <c r="C19" s="114">
        <v>1</v>
      </c>
      <c r="D19" s="115" t="s">
        <v>31</v>
      </c>
      <c r="E19" s="116">
        <f>'orçamento CPOS'!H63</f>
        <v>144906.82140000002</v>
      </c>
      <c r="F19" s="117"/>
      <c r="G19" s="113"/>
      <c r="H19" s="113"/>
      <c r="I19" s="109">
        <f>E19</f>
        <v>144906.82140000002</v>
      </c>
      <c r="J19" s="108"/>
      <c r="K19" s="110">
        <f>SUM(I19:J19)</f>
        <v>144906.82140000002</v>
      </c>
    </row>
    <row r="20" spans="1:11" ht="4.5" customHeight="1">
      <c r="A20" s="81"/>
      <c r="B20" s="79"/>
      <c r="C20" s="114"/>
      <c r="D20" s="115"/>
      <c r="E20" s="116"/>
      <c r="F20" s="118"/>
      <c r="G20" s="119"/>
      <c r="H20" s="109"/>
      <c r="I20" s="111"/>
      <c r="J20" s="109"/>
      <c r="K20" s="110"/>
    </row>
    <row r="21" spans="1:11" ht="15.75" customHeight="1">
      <c r="A21" s="79">
        <v>7</v>
      </c>
      <c r="B21" s="77" t="str">
        <f>'orçamento CPOS'!C64</f>
        <v>FECHAMENTO DO GALPÃO</v>
      </c>
      <c r="C21" s="114">
        <v>1</v>
      </c>
      <c r="D21" s="115" t="s">
        <v>31</v>
      </c>
      <c r="E21" s="116">
        <f>'orçamento CPOS'!H70</f>
        <v>268448.90124</v>
      </c>
      <c r="F21" s="117"/>
      <c r="G21" s="113"/>
      <c r="H21" s="113"/>
      <c r="I21" s="109"/>
      <c r="J21" s="109">
        <f>E21</f>
        <v>268448.90124</v>
      </c>
      <c r="K21" s="110">
        <f>SUM(H21:J21)</f>
        <v>268448.90124</v>
      </c>
    </row>
    <row r="22" spans="1:11" ht="4.5" customHeight="1">
      <c r="A22" s="81"/>
      <c r="B22" s="78"/>
      <c r="C22" s="114"/>
      <c r="D22" s="115"/>
      <c r="E22" s="116"/>
      <c r="F22" s="108"/>
      <c r="G22" s="108"/>
      <c r="H22" s="109"/>
      <c r="I22" s="109"/>
      <c r="J22" s="111"/>
      <c r="K22" s="110"/>
    </row>
    <row r="23" spans="1:11" ht="15.75" customHeight="1">
      <c r="A23" s="79">
        <v>8</v>
      </c>
      <c r="B23" s="77" t="str">
        <f>'orçamento CPOS'!C71</f>
        <v>IMPERMEABILIZAÇÃO </v>
      </c>
      <c r="C23" s="114">
        <v>1</v>
      </c>
      <c r="D23" s="115" t="s">
        <v>31</v>
      </c>
      <c r="E23" s="116">
        <f>'orçamento CPOS'!H74</f>
        <v>31299.921679999996</v>
      </c>
      <c r="F23" s="117"/>
      <c r="G23" s="113"/>
      <c r="H23" s="113"/>
      <c r="I23" s="109"/>
      <c r="J23" s="109">
        <f>E23</f>
        <v>31299.921679999996</v>
      </c>
      <c r="K23" s="110">
        <f>SUM(J23:J23)</f>
        <v>31299.921679999996</v>
      </c>
    </row>
    <row r="24" spans="1:11" ht="4.5" customHeight="1">
      <c r="A24" s="81"/>
      <c r="B24" s="78"/>
      <c r="C24" s="114"/>
      <c r="D24" s="115"/>
      <c r="E24" s="116"/>
      <c r="F24" s="108"/>
      <c r="G24" s="108"/>
      <c r="H24" s="108"/>
      <c r="I24" s="109"/>
      <c r="J24" s="111"/>
      <c r="K24" s="110"/>
    </row>
    <row r="25" spans="1:11" ht="11.25" customHeight="1">
      <c r="A25" s="81"/>
      <c r="B25" s="78"/>
      <c r="C25" s="114"/>
      <c r="D25" s="115"/>
      <c r="E25" s="121"/>
      <c r="F25" s="118"/>
      <c r="G25" s="120"/>
      <c r="H25" s="120"/>
      <c r="I25" s="109"/>
      <c r="J25" s="108"/>
      <c r="K25" s="110"/>
    </row>
    <row r="26" spans="1:11" ht="5.25" customHeight="1" thickBot="1">
      <c r="A26" s="122"/>
      <c r="B26" s="123"/>
      <c r="C26" s="105"/>
      <c r="D26" s="124"/>
      <c r="E26" s="107"/>
      <c r="F26" s="118"/>
      <c r="G26" s="120"/>
      <c r="H26" s="120"/>
      <c r="I26" s="109"/>
      <c r="J26" s="109"/>
      <c r="K26" s="110"/>
    </row>
    <row r="27" spans="1:11" ht="17.25" customHeight="1" thickBot="1" thickTop="1">
      <c r="A27" s="59"/>
      <c r="B27" s="125" t="s">
        <v>35</v>
      </c>
      <c r="C27" s="126"/>
      <c r="D27" s="127"/>
      <c r="E27" s="128">
        <f>SUM(E9:E23)</f>
        <v>1235029.0996419</v>
      </c>
      <c r="F27" s="129">
        <f>SUM(F9:F11)</f>
        <v>206749.1345375</v>
      </c>
      <c r="G27" s="129">
        <f>SUM(G11:G26)</f>
        <v>207586.633392</v>
      </c>
      <c r="H27" s="129">
        <f>SUM(H17:H21)</f>
        <v>376037.68739240005</v>
      </c>
      <c r="I27" s="129">
        <f>SUM(I19:I21)</f>
        <v>144906.82140000002</v>
      </c>
      <c r="J27" s="129">
        <f>SUM(J21:J23)</f>
        <v>299748.82291999995</v>
      </c>
      <c r="K27" s="130">
        <f>SUM(K9:K23)</f>
        <v>1235029.0996419</v>
      </c>
    </row>
    <row r="28" spans="1:11" ht="17.25" customHeight="1" thickBot="1" thickTop="1">
      <c r="A28" s="59"/>
      <c r="B28" s="125" t="s">
        <v>43</v>
      </c>
      <c r="C28" s="126"/>
      <c r="D28" s="127"/>
      <c r="E28" s="128">
        <f aca="true" t="shared" si="0" ref="E28:K28">E27*0.2034</f>
        <v>251204.91886716246</v>
      </c>
      <c r="F28" s="129">
        <f t="shared" si="0"/>
        <v>42052.7739649275</v>
      </c>
      <c r="G28" s="129">
        <f t="shared" si="0"/>
        <v>42223.1212319328</v>
      </c>
      <c r="H28" s="129">
        <f t="shared" si="0"/>
        <v>76486.06561561416</v>
      </c>
      <c r="I28" s="129">
        <f t="shared" si="0"/>
        <v>29474.04747276</v>
      </c>
      <c r="J28" s="129">
        <f t="shared" si="0"/>
        <v>60968.91058192799</v>
      </c>
      <c r="K28" s="129">
        <f t="shared" si="0"/>
        <v>251204.91886716246</v>
      </c>
    </row>
    <row r="29" spans="1:11" s="50" customFormat="1" ht="20.25" customHeight="1" thickBot="1" thickTop="1">
      <c r="A29" s="59"/>
      <c r="B29" s="60" t="s">
        <v>36</v>
      </c>
      <c r="C29" s="61"/>
      <c r="D29" s="62"/>
      <c r="E29" s="63">
        <f aca="true" t="shared" si="1" ref="E29:J29">SUM(E27:E28)</f>
        <v>1486234.0185090625</v>
      </c>
      <c r="F29" s="64">
        <f t="shared" si="1"/>
        <v>248801.9085024275</v>
      </c>
      <c r="G29" s="64">
        <f t="shared" si="1"/>
        <v>249809.7546239328</v>
      </c>
      <c r="H29" s="64">
        <f t="shared" si="1"/>
        <v>452523.75300801423</v>
      </c>
      <c r="I29" s="64">
        <f t="shared" si="1"/>
        <v>174380.86887276</v>
      </c>
      <c r="J29" s="64">
        <f t="shared" si="1"/>
        <v>360717.7335019279</v>
      </c>
      <c r="K29" s="65">
        <f>SUM(K27:K28)</f>
        <v>1486234.0185090625</v>
      </c>
    </row>
    <row r="30" spans="1:11" ht="7.5" customHeight="1" thickTop="1">
      <c r="A30" s="86"/>
      <c r="B30" s="131"/>
      <c r="C30" s="131"/>
      <c r="D30" s="131"/>
      <c r="E30" s="132"/>
      <c r="F30" s="131"/>
      <c r="G30" s="131"/>
      <c r="H30" s="131"/>
      <c r="I30" s="131"/>
      <c r="J30" s="131"/>
      <c r="K30" s="133"/>
    </row>
    <row r="31" spans="1:11" ht="7.5" customHeight="1">
      <c r="A31" s="86"/>
      <c r="B31" s="131"/>
      <c r="C31" s="131"/>
      <c r="D31" s="131"/>
      <c r="E31" s="132"/>
      <c r="F31" s="131"/>
      <c r="G31" s="131"/>
      <c r="H31" s="131"/>
      <c r="I31" s="131"/>
      <c r="J31" s="131"/>
      <c r="K31" s="133"/>
    </row>
    <row r="32" spans="1:11" ht="7.5" customHeight="1">
      <c r="A32" s="86"/>
      <c r="B32" s="131"/>
      <c r="C32" s="131"/>
      <c r="D32" s="131"/>
      <c r="E32" s="132"/>
      <c r="F32" s="131"/>
      <c r="G32" s="131"/>
      <c r="H32" s="131"/>
      <c r="I32" s="131"/>
      <c r="J32" s="131"/>
      <c r="K32" s="133"/>
    </row>
    <row r="33" spans="1:11" ht="7.5" customHeight="1">
      <c r="A33" s="86"/>
      <c r="B33" s="131"/>
      <c r="C33" s="131"/>
      <c r="D33" s="131"/>
      <c r="E33" s="132"/>
      <c r="F33" s="131"/>
      <c r="G33" s="131"/>
      <c r="H33" s="131"/>
      <c r="I33" s="131"/>
      <c r="J33" s="131"/>
      <c r="K33" s="133"/>
    </row>
    <row r="34" spans="1:11" ht="15">
      <c r="A34" s="86"/>
      <c r="B34" s="131"/>
      <c r="C34" s="131"/>
      <c r="D34" s="131"/>
      <c r="E34" s="132"/>
      <c r="F34" s="131"/>
      <c r="G34" s="131"/>
      <c r="H34" s="131"/>
      <c r="I34" s="131"/>
      <c r="J34" s="131"/>
      <c r="K34" s="133"/>
    </row>
    <row r="35" spans="1:11" ht="15">
      <c r="A35" s="86"/>
      <c r="B35" s="131"/>
      <c r="C35" s="131"/>
      <c r="D35" s="131"/>
      <c r="E35" s="132"/>
      <c r="F35" s="131"/>
      <c r="G35" s="131"/>
      <c r="H35" s="131"/>
      <c r="I35" s="131"/>
      <c r="J35" s="131"/>
      <c r="K35" s="133"/>
    </row>
    <row r="36" spans="1:11" ht="15">
      <c r="A36" s="86"/>
      <c r="B36" s="131"/>
      <c r="C36" s="131"/>
      <c r="D36" s="131"/>
      <c r="E36" s="131"/>
      <c r="F36" s="131"/>
      <c r="G36" s="131"/>
      <c r="H36" s="131"/>
      <c r="I36" s="131"/>
      <c r="J36" s="131"/>
      <c r="K36" s="133"/>
    </row>
    <row r="37" spans="1:11" ht="15.75" thickBot="1">
      <c r="A37" s="86"/>
      <c r="B37" s="131"/>
      <c r="C37" s="131"/>
      <c r="D37" s="131"/>
      <c r="E37" s="134"/>
      <c r="F37" s="131"/>
      <c r="G37" s="131"/>
      <c r="H37" s="131"/>
      <c r="I37" s="135"/>
      <c r="J37" s="135"/>
      <c r="K37" s="133"/>
    </row>
    <row r="38" spans="1:11" ht="15">
      <c r="A38" s="86"/>
      <c r="B38" s="136" t="s">
        <v>32</v>
      </c>
      <c r="C38" s="131"/>
      <c r="D38" s="131"/>
      <c r="E38" s="87"/>
      <c r="F38" s="131"/>
      <c r="G38" s="131"/>
      <c r="H38" s="131"/>
      <c r="I38" s="137" t="s">
        <v>33</v>
      </c>
      <c r="J38" s="137"/>
      <c r="K38" s="133"/>
    </row>
    <row r="39" spans="1:11" ht="15">
      <c r="A39" s="86"/>
      <c r="B39" s="138" t="s">
        <v>34</v>
      </c>
      <c r="C39" s="131"/>
      <c r="D39" s="131"/>
      <c r="E39" s="87"/>
      <c r="F39" s="131"/>
      <c r="G39" s="131"/>
      <c r="H39" s="131"/>
      <c r="I39" s="138" t="s">
        <v>20</v>
      </c>
      <c r="J39" s="138"/>
      <c r="K39" s="133"/>
    </row>
    <row r="40" spans="1:11" ht="15">
      <c r="A40" s="86"/>
      <c r="B40" s="138" t="s">
        <v>22</v>
      </c>
      <c r="C40" s="139"/>
      <c r="D40" s="139"/>
      <c r="E40" s="139"/>
      <c r="F40" s="131"/>
      <c r="G40" s="131"/>
      <c r="H40" s="131"/>
      <c r="I40" s="131" t="s">
        <v>21</v>
      </c>
      <c r="J40" s="131"/>
      <c r="K40" s="133"/>
    </row>
    <row r="41" spans="1:11" ht="15">
      <c r="A41" s="86"/>
      <c r="B41" s="138"/>
      <c r="C41" s="139"/>
      <c r="D41" s="139"/>
      <c r="E41" s="139"/>
      <c r="F41" s="131"/>
      <c r="G41" s="131"/>
      <c r="H41" s="131"/>
      <c r="I41" s="131"/>
      <c r="J41" s="131"/>
      <c r="K41" s="133"/>
    </row>
    <row r="42" spans="1:11" ht="13.5" thickBot="1">
      <c r="A42" s="43"/>
      <c r="B42" s="44"/>
      <c r="C42" s="44"/>
      <c r="D42" s="44"/>
      <c r="E42" s="44"/>
      <c r="F42" s="45"/>
      <c r="G42" s="45"/>
      <c r="H42" s="45"/>
      <c r="I42" s="44"/>
      <c r="J42" s="44"/>
      <c r="K42" s="46"/>
    </row>
    <row r="43" spans="1:7" ht="13.5" thickTop="1">
      <c r="A43" s="10"/>
      <c r="B43"/>
      <c r="C43"/>
      <c r="D43"/>
      <c r="E43"/>
      <c r="F43"/>
      <c r="G43"/>
    </row>
    <row r="44" spans="1:7" ht="12.75">
      <c r="A44" s="10"/>
      <c r="B44"/>
      <c r="C44"/>
      <c r="D44"/>
      <c r="E44"/>
      <c r="F44"/>
      <c r="G44"/>
    </row>
    <row r="45" spans="1:7" ht="12.75">
      <c r="A45" s="10"/>
      <c r="B45"/>
      <c r="C45"/>
      <c r="D45"/>
      <c r="E45"/>
      <c r="F45"/>
      <c r="G45"/>
    </row>
    <row r="46" spans="1:7" ht="12.75">
      <c r="A46" s="10"/>
      <c r="B46"/>
      <c r="C46"/>
      <c r="D46"/>
      <c r="E46"/>
      <c r="F46"/>
      <c r="G46"/>
    </row>
    <row r="47" spans="1:7" ht="18.75">
      <c r="A47" s="40"/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</sheetData>
  <sheetProtection/>
  <mergeCells count="7">
    <mergeCell ref="B2:E2"/>
    <mergeCell ref="F5:J5"/>
    <mergeCell ref="F6:J6"/>
    <mergeCell ref="F1:K1"/>
    <mergeCell ref="F2:K2"/>
    <mergeCell ref="F3:K3"/>
    <mergeCell ref="F4:K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Carnio Lopes</dc:creator>
  <cp:keywords/>
  <dc:description/>
  <cp:lastModifiedBy>Fernanda Simplicio Rampazio</cp:lastModifiedBy>
  <cp:lastPrinted>2019-08-19T17:21:26Z</cp:lastPrinted>
  <dcterms:created xsi:type="dcterms:W3CDTF">2001-08-14T12:07:15Z</dcterms:created>
  <dcterms:modified xsi:type="dcterms:W3CDTF">2019-08-19T18:49:50Z</dcterms:modified>
  <cp:category/>
  <cp:version/>
  <cp:contentType/>
  <cp:contentStatus/>
</cp:coreProperties>
</file>